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55" yWindow="-15" windowWidth="16200" windowHeight="13260" activeTab="1"/>
  </bookViews>
  <sheets>
    <sheet name="Full Set" sheetId="1" r:id="rId1"/>
    <sheet name="Stats" sheetId="2" r:id="rId2"/>
    <sheet name="Win Rate By Color" sheetId="4" r:id="rId3"/>
    <sheet name="Win Rate by Guild" sheetId="5" r:id="rId4"/>
  </sheets>
  <calcPr calcId="145621"/>
</workbook>
</file>

<file path=xl/calcChain.xml><?xml version="1.0" encoding="utf-8"?>
<calcChain xmlns="http://schemas.openxmlformats.org/spreadsheetml/2006/main">
  <c r="Y73" i="2" l="1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Y2" i="2"/>
  <c r="X73" i="2" l="1"/>
  <c r="T76" i="2"/>
  <c r="X72" i="2" l="1"/>
  <c r="Q84" i="2" l="1"/>
  <c r="X71" i="2"/>
  <c r="X70" i="2" l="1"/>
  <c r="X69" i="2"/>
  <c r="X68" i="2"/>
  <c r="X67" i="2" l="1"/>
  <c r="X66" i="2" l="1"/>
  <c r="F102" i="2" l="1"/>
  <c r="F101" i="2"/>
  <c r="F100" i="2"/>
  <c r="F99" i="2"/>
  <c r="F98" i="2"/>
  <c r="F97" i="2"/>
  <c r="F96" i="2"/>
  <c r="F95" i="2"/>
  <c r="F94" i="2"/>
  <c r="F93" i="2"/>
  <c r="F92" i="2"/>
  <c r="E102" i="2"/>
  <c r="E101" i="2"/>
  <c r="E100" i="2"/>
  <c r="E99" i="2"/>
  <c r="E98" i="2"/>
  <c r="E97" i="2"/>
  <c r="E96" i="2"/>
  <c r="E95" i="2"/>
  <c r="E94" i="2"/>
  <c r="E93" i="2"/>
  <c r="E92" i="2"/>
  <c r="X65" i="2" l="1"/>
  <c r="G98" i="2" l="1"/>
  <c r="I85" i="2"/>
  <c r="I84" i="2"/>
  <c r="I83" i="2"/>
  <c r="I82" i="2"/>
  <c r="AA89" i="2"/>
  <c r="AA88" i="2"/>
  <c r="X64" i="2"/>
  <c r="G102" i="2" l="1"/>
  <c r="H102" i="2" s="1"/>
  <c r="G92" i="2"/>
  <c r="G93" i="2"/>
  <c r="H93" i="2" s="1"/>
  <c r="G94" i="2"/>
  <c r="H94" i="2" s="1"/>
  <c r="G95" i="2"/>
  <c r="H95" i="2" s="1"/>
  <c r="G99" i="2"/>
  <c r="H99" i="2" s="1"/>
  <c r="H98" i="2"/>
  <c r="G96" i="2"/>
  <c r="H96" i="2" s="1"/>
  <c r="G100" i="2"/>
  <c r="H100" i="2" s="1"/>
  <c r="G97" i="2"/>
  <c r="H97" i="2" s="1"/>
  <c r="G101" i="2"/>
  <c r="H101" i="2" s="1"/>
  <c r="I81" i="2"/>
  <c r="X63" i="2"/>
  <c r="J81" i="2" l="1"/>
  <c r="K81" i="2" s="1"/>
  <c r="J82" i="2"/>
  <c r="K82" i="2" s="1"/>
  <c r="J84" i="2"/>
  <c r="K84" i="2" s="1"/>
  <c r="H92" i="2"/>
  <c r="J85" i="2"/>
  <c r="K85" i="2" s="1"/>
  <c r="J83" i="2"/>
  <c r="K83" i="2" s="1"/>
  <c r="X62" i="2"/>
  <c r="X61" i="2" l="1"/>
  <c r="X60" i="2"/>
  <c r="X59" i="2" l="1"/>
  <c r="X58" i="2" l="1"/>
  <c r="X57" i="2"/>
  <c r="X56" i="2" l="1"/>
  <c r="X55" i="2" l="1"/>
  <c r="X54" i="2"/>
  <c r="AA81" i="2" l="1"/>
  <c r="X53" i="2"/>
  <c r="X52" i="2"/>
  <c r="A90" i="2"/>
  <c r="A89" i="2"/>
  <c r="A88" i="2"/>
  <c r="A84" i="2"/>
  <c r="A82" i="2"/>
  <c r="A81" i="2"/>
  <c r="A91" i="2"/>
  <c r="A87" i="2"/>
  <c r="A86" i="2"/>
  <c r="A85" i="2"/>
  <c r="A83" i="2"/>
  <c r="X51" i="2"/>
  <c r="X50" i="2"/>
  <c r="X49" i="2"/>
  <c r="X48" i="2"/>
  <c r="X47" i="2"/>
  <c r="F84" i="2" l="1"/>
  <c r="F81" i="2"/>
  <c r="F83" i="2"/>
  <c r="F85" i="2"/>
  <c r="F82" i="2"/>
  <c r="A93" i="2"/>
  <c r="X46" i="2"/>
  <c r="X45" i="2" l="1"/>
  <c r="X44" i="2"/>
  <c r="X43" i="2" l="1"/>
  <c r="X42" i="2"/>
  <c r="X41" i="2" l="1"/>
  <c r="X40" i="2" l="1"/>
  <c r="X39" i="2"/>
  <c r="X38" i="2" l="1"/>
  <c r="X37" i="2"/>
  <c r="X36" i="2"/>
  <c r="X35" i="2"/>
  <c r="X34" i="2" l="1"/>
  <c r="X33" i="2" l="1"/>
  <c r="X32" i="2"/>
  <c r="C76" i="2" l="1"/>
  <c r="Q85" i="2" s="1"/>
  <c r="H76" i="2"/>
  <c r="I76" i="2"/>
  <c r="S76" i="2"/>
  <c r="V76" i="2"/>
  <c r="Z76" i="2"/>
  <c r="Z77" i="2" s="1"/>
  <c r="G83" i="2" l="1"/>
  <c r="G82" i="2"/>
  <c r="G85" i="2"/>
  <c r="G81" i="2"/>
  <c r="G84" i="2"/>
  <c r="W76" i="2"/>
  <c r="K76" i="2"/>
  <c r="L76" i="2" s="1"/>
  <c r="S78" i="2"/>
  <c r="T78" i="2" s="1"/>
  <c r="K86" i="2" s="1"/>
  <c r="X31" i="2" l="1"/>
  <c r="X30" i="2"/>
  <c r="X29" i="2"/>
  <c r="X28" i="2" l="1"/>
  <c r="AF29" i="2"/>
  <c r="AE29" i="2"/>
  <c r="X27" i="2" l="1"/>
  <c r="X26" i="2"/>
  <c r="AP12" i="2"/>
  <c r="X25" i="2"/>
  <c r="X24" i="2"/>
  <c r="X23" i="2"/>
  <c r="X22" i="2" l="1"/>
  <c r="X21" i="2"/>
  <c r="X20" i="2"/>
  <c r="X19" i="2"/>
  <c r="X18" i="2"/>
  <c r="X17" i="2"/>
  <c r="X16" i="2"/>
  <c r="X15" i="2" l="1"/>
  <c r="X14" i="2" l="1"/>
  <c r="X13" i="2"/>
  <c r="X12" i="2"/>
  <c r="X11" i="2" l="1"/>
  <c r="X10" i="2" l="1"/>
  <c r="X9" i="2" l="1"/>
  <c r="X8" i="2" l="1"/>
  <c r="X7" i="2" l="1"/>
  <c r="X6" i="2"/>
  <c r="X5" i="2" l="1"/>
  <c r="X4" i="2"/>
  <c r="X3" i="2" l="1"/>
  <c r="Y76" i="2"/>
  <c r="AA76" i="2" s="1"/>
  <c r="Q2" i="1" l="1"/>
  <c r="P2" i="1"/>
  <c r="O2" i="1"/>
  <c r="N2" i="1"/>
  <c r="X2" i="2"/>
  <c r="X76" i="2" s="1"/>
  <c r="X2" i="1" l="1"/>
  <c r="X3" i="1"/>
  <c r="X4" i="1"/>
  <c r="X5" i="1"/>
  <c r="M2" i="1"/>
  <c r="L2" i="1"/>
  <c r="W5" i="1"/>
  <c r="V5" i="1"/>
  <c r="W4" i="1"/>
  <c r="V4" i="1"/>
  <c r="W3" i="1"/>
  <c r="V3" i="1"/>
  <c r="W2" i="1"/>
  <c r="V2" i="1"/>
  <c r="K2" i="1"/>
  <c r="J2" i="1"/>
  <c r="I2" i="1"/>
  <c r="H2" i="1"/>
  <c r="G2" i="1"/>
  <c r="F2" i="1"/>
  <c r="E2" i="1"/>
  <c r="D2" i="1"/>
  <c r="R2" i="1" l="1"/>
</calcChain>
</file>

<file path=xl/comments1.xml><?xml version="1.0" encoding="utf-8"?>
<comments xmlns="http://schemas.openxmlformats.org/spreadsheetml/2006/main">
  <authors>
    <author>Zvazda</author>
  </authors>
  <commentList>
    <comment ref="J2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Missing White cards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Missing Blue cards</t>
        </r>
      </text>
    </comment>
    <comment ref="L2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Missing Black cards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Missing Red cards</t>
        </r>
      </text>
    </comment>
    <comment ref="N2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Missing Green cards</t>
        </r>
      </text>
    </comment>
    <comment ref="O2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Missing Green cards</t>
        </r>
      </text>
    </comment>
    <comment ref="P2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Missing multicolored cards</t>
        </r>
      </text>
    </comment>
    <comment ref="Q2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Missing multicolored cards</t>
        </r>
      </text>
    </comment>
  </commentList>
</comments>
</file>

<file path=xl/comments2.xml><?xml version="1.0" encoding="utf-8"?>
<comments xmlns="http://schemas.openxmlformats.org/spreadsheetml/2006/main">
  <authors>
    <author>Zvazda</author>
  </authors>
  <commentList>
    <comment ref="C76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Total Drafts</t>
        </r>
      </text>
    </comment>
    <comment ref="H76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Total Wins</t>
        </r>
      </text>
    </comment>
    <comment ref="I76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Total Losses</t>
        </r>
      </text>
    </comment>
    <comment ref="K76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Total Games</t>
        </r>
      </text>
    </comment>
    <comment ref="L76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Win Percentage</t>
        </r>
      </text>
    </comment>
    <comment ref="S76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Total Match Wins</t>
        </r>
      </text>
    </comment>
    <comment ref="T76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Total Match Losses</t>
        </r>
      </text>
    </comment>
    <comment ref="V76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Total net tix</t>
        </r>
      </text>
    </comment>
    <comment ref="W76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Average packs lost per draft</t>
        </r>
      </text>
    </comment>
    <comment ref="X76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Total Unweighted Draft Cost
</t>
        </r>
      </text>
    </comment>
    <comment ref="AA76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WEIGHTED COST PER DRAFT</t>
        </r>
      </text>
    </comment>
    <comment ref="S78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Total Matches</t>
        </r>
      </text>
    </comment>
    <comment ref="T78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Match Win percentage</t>
        </r>
      </text>
    </comment>
    <comment ref="F81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Times Drafting White</t>
        </r>
      </text>
    </comment>
    <comment ref="F82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Times Drafting Blue</t>
        </r>
      </text>
    </comment>
    <comment ref="F83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Times Drafting Black</t>
        </r>
      </text>
    </comment>
    <comment ref="F84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Times Drafting Red</t>
        </r>
      </text>
    </comment>
    <comment ref="F85" authorId="0">
      <text>
        <r>
          <rPr>
            <b/>
            <sz val="8"/>
            <color indexed="81"/>
            <rFont val="Tahoma"/>
            <family val="2"/>
          </rPr>
          <t>Zvazda:</t>
        </r>
        <r>
          <rPr>
            <sz val="8"/>
            <color indexed="81"/>
            <rFont val="Tahoma"/>
            <family val="2"/>
          </rPr>
          <t xml:space="preserve">
Times Drafting Green</t>
        </r>
      </text>
    </comment>
  </commentList>
</comments>
</file>

<file path=xl/sharedStrings.xml><?xml version="1.0" encoding="utf-8"?>
<sst xmlns="http://schemas.openxmlformats.org/spreadsheetml/2006/main" count="881" uniqueCount="393">
  <si>
    <t>Battlewise Valor</t>
  </si>
  <si>
    <t>C</t>
  </si>
  <si>
    <t>Cavalry Pegasus</t>
  </si>
  <si>
    <t>Celestial Archon</t>
  </si>
  <si>
    <t>Chained to the Rocks</t>
  </si>
  <si>
    <t>Chosen by Heliod</t>
  </si>
  <si>
    <t>Dauntless Onslaught</t>
  </si>
  <si>
    <t>Decorated Griffin</t>
  </si>
  <si>
    <t>Divine Verdict</t>
  </si>
  <si>
    <t>Elspeth, Sun's Champion</t>
  </si>
  <si>
    <t>Ephara's Warden</t>
  </si>
  <si>
    <t>Evangel of Heliod</t>
  </si>
  <si>
    <t>Fabled Hero</t>
  </si>
  <si>
    <t>Favored Hoplite</t>
  </si>
  <si>
    <t>Gift of Immortality</t>
  </si>
  <si>
    <t>Glare of Heresy</t>
  </si>
  <si>
    <t>Gods Willing</t>
  </si>
  <si>
    <t>Heliod, God of the Sun</t>
  </si>
  <si>
    <t>Heliod's Emissary</t>
  </si>
  <si>
    <t>Hopeful Eidolon</t>
  </si>
  <si>
    <t>Hundred-Handed One</t>
  </si>
  <si>
    <t>Lagonna-Band Elder</t>
  </si>
  <si>
    <t>Last Breath</t>
  </si>
  <si>
    <t>Leonin Snarecaster</t>
  </si>
  <si>
    <t>Observant Alseid</t>
  </si>
  <si>
    <t>Ordeal of Heliod</t>
  </si>
  <si>
    <t>Phalanx Leader</t>
  </si>
  <si>
    <t>Ray of Dissolution</t>
  </si>
  <si>
    <t>Scholar of Athreos</t>
  </si>
  <si>
    <t>Setessan Battle Priest</t>
  </si>
  <si>
    <t>Setessan Griffin</t>
  </si>
  <si>
    <t>Silent Artisan</t>
  </si>
  <si>
    <t>Soldier of the Pantheon</t>
  </si>
  <si>
    <t>Spear of Heliod</t>
  </si>
  <si>
    <t>Traveling Philosopher</t>
  </si>
  <si>
    <t>Vanquish the Foul</t>
  </si>
  <si>
    <t>Wingsteed Rider</t>
  </si>
  <si>
    <t>Yoked Ox</t>
  </si>
  <si>
    <t>Annul</t>
  </si>
  <si>
    <t>Aqueous Form</t>
  </si>
  <si>
    <t>Artisan of Forms</t>
  </si>
  <si>
    <t>Benthic Giant</t>
  </si>
  <si>
    <t>Bident of Thassa</t>
  </si>
  <si>
    <t>Breaching Hippocamp</t>
  </si>
  <si>
    <t>Coastline Chimera</t>
  </si>
  <si>
    <t>Crackling Triton</t>
  </si>
  <si>
    <t>Curse of the Swine</t>
  </si>
  <si>
    <t>Dissolve</t>
  </si>
  <si>
    <t>Fate Foretold</t>
  </si>
  <si>
    <t>Gainsay</t>
  </si>
  <si>
    <t>Griptide</t>
  </si>
  <si>
    <t>Horizon Scholar</t>
  </si>
  <si>
    <t>Lost in a Labyrinth</t>
  </si>
  <si>
    <t>Master of Waves</t>
  </si>
  <si>
    <t>Meletis Charlatan</t>
  </si>
  <si>
    <t>Mnemonic Wall</t>
  </si>
  <si>
    <t>Nimbus Naiad</t>
  </si>
  <si>
    <t>Omenspeaker</t>
  </si>
  <si>
    <t>Ordeal of Thassa</t>
  </si>
  <si>
    <t>Prescient Chimera</t>
  </si>
  <si>
    <t>Prognostic Sphinx</t>
  </si>
  <si>
    <t>Sea God's Revenge</t>
  </si>
  <si>
    <t>Sealock Monster</t>
  </si>
  <si>
    <t>Shipbreaker Kraken</t>
  </si>
  <si>
    <t>Stymied Hopes</t>
  </si>
  <si>
    <t>Swan Song</t>
  </si>
  <si>
    <t>Thassa, God of the Sea</t>
  </si>
  <si>
    <t>Thassa's Bounty</t>
  </si>
  <si>
    <t>Thassa's Emissary</t>
  </si>
  <si>
    <t>Triton Fortune Hunter</t>
  </si>
  <si>
    <t>Triton Shorethief</t>
  </si>
  <si>
    <t>Triton Tactics</t>
  </si>
  <si>
    <t>Vaporkin</t>
  </si>
  <si>
    <t>Voyage's End</t>
  </si>
  <si>
    <t>Wavecrash Triton</t>
  </si>
  <si>
    <t>Abhorrent Overlord</t>
  </si>
  <si>
    <t>Agent of the Fates</t>
  </si>
  <si>
    <t>Asphodel Wanderer</t>
  </si>
  <si>
    <t>Baleful Eidolon</t>
  </si>
  <si>
    <t>Blood-Toll Harpy</t>
  </si>
  <si>
    <t>Boon of Erebos</t>
  </si>
  <si>
    <t>Cavern Lampad</t>
  </si>
  <si>
    <t>Cutthroat Maneuver</t>
  </si>
  <si>
    <t>Dark Betrayal</t>
  </si>
  <si>
    <t>Disciple of Phenax</t>
  </si>
  <si>
    <t>Erebos, God of the Dead</t>
  </si>
  <si>
    <t>Erebos's Emissary</t>
  </si>
  <si>
    <t>Fellhide Minotaur</t>
  </si>
  <si>
    <t>Fleshmad Steed</t>
  </si>
  <si>
    <t>Gray Merchant of Asphodel</t>
  </si>
  <si>
    <t>Hero's Downfall</t>
  </si>
  <si>
    <t>Hythonia the Cruel</t>
  </si>
  <si>
    <t>Insatiable Harpy</t>
  </si>
  <si>
    <t>Keepsake Gorgon</t>
  </si>
  <si>
    <t>Lash of the Whip</t>
  </si>
  <si>
    <t>Loathsome Catoblepas</t>
  </si>
  <si>
    <t>March of the Returned</t>
  </si>
  <si>
    <t>Mogis's Marauder</t>
  </si>
  <si>
    <t>Nighthowler</t>
  </si>
  <si>
    <t>Ordeal of Erebos</t>
  </si>
  <si>
    <t>Pharika's Cure</t>
  </si>
  <si>
    <t>Read the Bones</t>
  </si>
  <si>
    <t>Rescue from the Underworld</t>
  </si>
  <si>
    <t>Returned Centaur</t>
  </si>
  <si>
    <t>Returned Phalanx</t>
  </si>
  <si>
    <t>Scourgemark</t>
  </si>
  <si>
    <t>Sip of Hemlock</t>
  </si>
  <si>
    <t>Thoughtseize</t>
  </si>
  <si>
    <t>Tormented Hero</t>
  </si>
  <si>
    <t>Viper's Kiss</t>
  </si>
  <si>
    <t>Whip of Erebos</t>
  </si>
  <si>
    <t>Akroan Crusader</t>
  </si>
  <si>
    <t>Anger of the Gods</t>
  </si>
  <si>
    <t>Arena Athlete</t>
  </si>
  <si>
    <t>Borderland Minotaur</t>
  </si>
  <si>
    <t>Boulderfall</t>
  </si>
  <si>
    <t>Coordinated Assault</t>
  </si>
  <si>
    <t>Deathbellow Raider</t>
  </si>
  <si>
    <t>Demolish</t>
  </si>
  <si>
    <t>Dragon Mantle</t>
  </si>
  <si>
    <t>Ember Swallower</t>
  </si>
  <si>
    <t>Fanatic of Mogis</t>
  </si>
  <si>
    <t>Firedrinker Satyr</t>
  </si>
  <si>
    <t>Flamespeaker Adept</t>
  </si>
  <si>
    <t>Hammer of Purphoros</t>
  </si>
  <si>
    <t>Ill-Tempered Cyclops</t>
  </si>
  <si>
    <t>Labyrinth Champion</t>
  </si>
  <si>
    <t>Lightning Strike</t>
  </si>
  <si>
    <t>Magma Jet</t>
  </si>
  <si>
    <t>Messenger's Speed</t>
  </si>
  <si>
    <t>Minotaur Skullcleaver</t>
  </si>
  <si>
    <t>Ordeal of Purphoros</t>
  </si>
  <si>
    <t>Peak Eruption</t>
  </si>
  <si>
    <t>Portent of Betrayal</t>
  </si>
  <si>
    <t>Priest of Iroas</t>
  </si>
  <si>
    <t>Purphoros, God of the Forge</t>
  </si>
  <si>
    <t>Purphoros's Emissary</t>
  </si>
  <si>
    <t>Rage of Purphoros</t>
  </si>
  <si>
    <t>Rageblood Shaman</t>
  </si>
  <si>
    <t>Satyr Rambler</t>
  </si>
  <si>
    <t>Spark Jolt</t>
  </si>
  <si>
    <t>Spearpoint Oread</t>
  </si>
  <si>
    <t>Stoneshock Giant</t>
  </si>
  <si>
    <t>Stormbreath Dragon</t>
  </si>
  <si>
    <t>Titan of Eternal Fire</t>
  </si>
  <si>
    <t>Titan's Strength</t>
  </si>
  <si>
    <t>Two-Headed Cerberus</t>
  </si>
  <si>
    <t>Wild Celebrants</t>
  </si>
  <si>
    <t>Agent of Horizons</t>
  </si>
  <si>
    <t>Anthousa, Setessan Hero</t>
  </si>
  <si>
    <t>Arbor Colossus</t>
  </si>
  <si>
    <t>Artisan's Sorrow</t>
  </si>
  <si>
    <t>Boon Satyr</t>
  </si>
  <si>
    <t>Bow of Nylea</t>
  </si>
  <si>
    <t>Centaur Battlemaster</t>
  </si>
  <si>
    <t>Commune with the Gods</t>
  </si>
  <si>
    <t>Defend the Hearth</t>
  </si>
  <si>
    <t>Fade into Antiquity</t>
  </si>
  <si>
    <t>Feral Invocation</t>
  </si>
  <si>
    <t>Hunt the Hunter</t>
  </si>
  <si>
    <t>Karametra's Acolyte</t>
  </si>
  <si>
    <t>Leafcrown Dryad</t>
  </si>
  <si>
    <t>Mistcutter Hydra</t>
  </si>
  <si>
    <t>Nemesis of Mortals</t>
  </si>
  <si>
    <t>Nessian Asp</t>
  </si>
  <si>
    <t>Nessian Courser</t>
  </si>
  <si>
    <t>Nylea, God of the Hunt</t>
  </si>
  <si>
    <t>Nylea's Disciple</t>
  </si>
  <si>
    <t>Nylea's Emissary</t>
  </si>
  <si>
    <t>Nylea's Presence</t>
  </si>
  <si>
    <t>Ordeal of Nylea</t>
  </si>
  <si>
    <t>Pheres-Band Centaurs</t>
  </si>
  <si>
    <t>Polukranos, World Eater</t>
  </si>
  <si>
    <t>Reverent Hunter</t>
  </si>
  <si>
    <t>Satyr Hedonist</t>
  </si>
  <si>
    <t>Satyr Piper</t>
  </si>
  <si>
    <t>Savage Surge</t>
  </si>
  <si>
    <t>Sedge Scorpion</t>
  </si>
  <si>
    <t>Shredding Winds</t>
  </si>
  <si>
    <t>Staunch-Hearted Warrior</t>
  </si>
  <si>
    <t>Sylvan Caryatid</t>
  </si>
  <si>
    <t>Time to Feed</t>
  </si>
  <si>
    <t>Voyaging Satyr</t>
  </si>
  <si>
    <t>Vulpine Goliath</t>
  </si>
  <si>
    <t>Warrior's Lesson</t>
  </si>
  <si>
    <t>Akroan Hoplite</t>
  </si>
  <si>
    <t>Anax and Cymede</t>
  </si>
  <si>
    <t>Ashen Rider</t>
  </si>
  <si>
    <t>Ashiok, Nightmare Weaver</t>
  </si>
  <si>
    <t>Battlewise Hoplite</t>
  </si>
  <si>
    <t>Chronicler of Heroes</t>
  </si>
  <si>
    <t>Daxos of Meletis</t>
  </si>
  <si>
    <t>Destructive Revelry</t>
  </si>
  <si>
    <t>Fleecemane Lion</t>
  </si>
  <si>
    <t>Horizon Chimera</t>
  </si>
  <si>
    <t>Kragma Warcaller</t>
  </si>
  <si>
    <t>Medomai the Ageless</t>
  </si>
  <si>
    <t>Pharika's Mender</t>
  </si>
  <si>
    <t>Polis Crusher</t>
  </si>
  <si>
    <t>Prophet of Kruphix</t>
  </si>
  <si>
    <t>Psychic Intrusion</t>
  </si>
  <si>
    <t>Reaper of the Wilds</t>
  </si>
  <si>
    <t>Sentry of the Underworld</t>
  </si>
  <si>
    <t>Shipwreck Singer</t>
  </si>
  <si>
    <t>Spellheart Chimera</t>
  </si>
  <si>
    <t>Steam Augury</t>
  </si>
  <si>
    <t>Triad of Fates</t>
  </si>
  <si>
    <t>Tymaret, the Murder King</t>
  </si>
  <si>
    <t>Underworld Cerberus</t>
  </si>
  <si>
    <t>Xenagos, the Reveler</t>
  </si>
  <si>
    <t>Akroan Horse</t>
  </si>
  <si>
    <t>Anvilwrought Raptor</t>
  </si>
  <si>
    <t>Bronze Sable</t>
  </si>
  <si>
    <t>Burnished Hart</t>
  </si>
  <si>
    <t>Colossus of Akros</t>
  </si>
  <si>
    <t>Flamecast Wheel</t>
  </si>
  <si>
    <t>Fleetfeather Sandals</t>
  </si>
  <si>
    <t>Guardians of Meletis</t>
  </si>
  <si>
    <t>Opaline Unicorn</t>
  </si>
  <si>
    <t>Prowler's Helm</t>
  </si>
  <si>
    <t>Pyxis of Pandemonium</t>
  </si>
  <si>
    <t>Traveler's Amulet</t>
  </si>
  <si>
    <t>Witches' Eye</t>
  </si>
  <si>
    <t>Nykthos, Shrine to Nyx</t>
  </si>
  <si>
    <t>Temple of Abandon</t>
  </si>
  <si>
    <t>Temple of Deceit</t>
  </si>
  <si>
    <t>Temple of Mystery</t>
  </si>
  <si>
    <t>Temple of Silence</t>
  </si>
  <si>
    <t>Temple of Triumph</t>
  </si>
  <si>
    <t>Unknown Shores</t>
  </si>
  <si>
    <t>Plains</t>
  </si>
  <si>
    <t>Island</t>
  </si>
  <si>
    <t>Swamp</t>
  </si>
  <si>
    <t>Mountain</t>
  </si>
  <si>
    <t>Forest</t>
  </si>
  <si>
    <t>R</t>
  </si>
  <si>
    <t>U</t>
  </si>
  <si>
    <t>MR</t>
  </si>
  <si>
    <t>L</t>
  </si>
  <si>
    <t>Total Missing</t>
  </si>
  <si>
    <t>White</t>
  </si>
  <si>
    <t>Blue</t>
  </si>
  <si>
    <t xml:space="preserve">Black </t>
  </si>
  <si>
    <t>Red</t>
  </si>
  <si>
    <t>Green</t>
  </si>
  <si>
    <t>Artifact</t>
  </si>
  <si>
    <t>Land</t>
  </si>
  <si>
    <t>Multicolor</t>
  </si>
  <si>
    <t>Date</t>
  </si>
  <si>
    <t>Sets</t>
  </si>
  <si>
    <t>Number</t>
  </si>
  <si>
    <t>Format</t>
  </si>
  <si>
    <t>Colors</t>
  </si>
  <si>
    <t>Rd. 1</t>
  </si>
  <si>
    <t>W</t>
  </si>
  <si>
    <t>Rd. 2</t>
  </si>
  <si>
    <t>Rd. 3</t>
  </si>
  <si>
    <t>MW</t>
  </si>
  <si>
    <t>ML</t>
  </si>
  <si>
    <t>Packs Won</t>
  </si>
  <si>
    <t>Packs Net</t>
  </si>
  <si>
    <t>Tix Net</t>
  </si>
  <si>
    <t>Cost of Draft (unweighted)</t>
  </si>
  <si>
    <t>Cost of Draft (weighted)</t>
  </si>
  <si>
    <t>Cost of packs</t>
  </si>
  <si>
    <t>Tickets from Selling Rares</t>
  </si>
  <si>
    <t>Event #</t>
  </si>
  <si>
    <t>R1G1#</t>
  </si>
  <si>
    <t>R1G2#</t>
  </si>
  <si>
    <t>R1G3#</t>
  </si>
  <si>
    <t>R2G1</t>
  </si>
  <si>
    <t>R2G2</t>
  </si>
  <si>
    <t>R2G3</t>
  </si>
  <si>
    <t>R3G1</t>
  </si>
  <si>
    <t>R3G2</t>
  </si>
  <si>
    <t>R3G3</t>
  </si>
  <si>
    <t>Swiss</t>
  </si>
  <si>
    <t>THS</t>
  </si>
  <si>
    <t>BR</t>
  </si>
  <si>
    <t>Sold! 2 tix</t>
  </si>
  <si>
    <t>Sold! 21 tix</t>
  </si>
  <si>
    <t>UG</t>
  </si>
  <si>
    <r>
      <t xml:space="preserve">Arbor Colossus (foil), Prognostic Sphinx, Temple of Triumph, Pyxis of Pandemonium, </t>
    </r>
    <r>
      <rPr>
        <b/>
        <sz val="11"/>
        <color theme="1"/>
        <rFont val="Calibri"/>
        <family val="2"/>
        <scheme val="minor"/>
      </rPr>
      <t>Event Reimbursement</t>
    </r>
  </si>
  <si>
    <r>
      <rPr>
        <b/>
        <sz val="11"/>
        <color theme="1"/>
        <rFont val="Calibri"/>
        <family val="2"/>
        <scheme val="minor"/>
      </rPr>
      <t>Nylea(7)</t>
    </r>
    <r>
      <rPr>
        <sz val="11"/>
        <color theme="1"/>
        <rFont val="Calibri"/>
        <family val="2"/>
        <scheme val="minor"/>
      </rPr>
      <t xml:space="preserve">, Bow of Nylea, </t>
    </r>
    <r>
      <rPr>
        <b/>
        <sz val="11"/>
        <color theme="1"/>
        <rFont val="Calibri"/>
        <family val="2"/>
        <scheme val="minor"/>
      </rPr>
      <t>Mistcutter Hydra (2)</t>
    </r>
    <r>
      <rPr>
        <sz val="11"/>
        <color theme="1"/>
        <rFont val="Calibri"/>
        <family val="2"/>
        <scheme val="minor"/>
      </rPr>
      <t>, Shipbreaker Kraken</t>
    </r>
  </si>
  <si>
    <r>
      <rPr>
        <b/>
        <sz val="11"/>
        <color theme="1"/>
        <rFont val="Calibri"/>
        <family val="2"/>
        <scheme val="minor"/>
      </rPr>
      <t>Stormbreath Dragon(21), Anger of the Gods (2),</t>
    </r>
    <r>
      <rPr>
        <sz val="11"/>
        <color theme="1"/>
        <rFont val="Calibri"/>
        <family val="2"/>
        <scheme val="minor"/>
      </rPr>
      <t xml:space="preserve"> Curse of the Swine, Fabled Hero</t>
    </r>
  </si>
  <si>
    <t>Sold! 7 tix</t>
  </si>
  <si>
    <r>
      <rPr>
        <b/>
        <sz val="11"/>
        <color theme="1"/>
        <rFont val="Calibri"/>
        <family val="2"/>
        <scheme val="minor"/>
      </rPr>
      <t>Boon Satyr (4)</t>
    </r>
    <r>
      <rPr>
        <sz val="11"/>
        <color theme="1"/>
        <rFont val="Calibri"/>
        <family val="2"/>
        <scheme val="minor"/>
      </rPr>
      <t xml:space="preserve">, Temple of Deceit, Polis Crusher, </t>
    </r>
    <r>
      <rPr>
        <b/>
        <sz val="11"/>
        <color theme="1"/>
        <rFont val="Calibri"/>
        <family val="2"/>
        <scheme val="minor"/>
      </rPr>
      <t>Thoughtseize (8)</t>
    </r>
    <r>
      <rPr>
        <sz val="11"/>
        <color theme="1"/>
        <rFont val="Calibri"/>
        <family val="2"/>
        <scheme val="minor"/>
      </rPr>
      <t>, Nighthowler</t>
    </r>
  </si>
  <si>
    <r>
      <rPr>
        <b/>
        <sz val="11"/>
        <color theme="1"/>
        <rFont val="Calibri"/>
        <family val="2"/>
        <scheme val="minor"/>
      </rPr>
      <t>Erebos (3)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Sylvan Caryatid (4)</t>
    </r>
    <r>
      <rPr>
        <sz val="11"/>
        <color theme="1"/>
        <rFont val="Calibri"/>
        <family val="2"/>
        <scheme val="minor"/>
      </rPr>
      <t>, Bow of Nylea</t>
    </r>
  </si>
  <si>
    <t>Azorious</t>
  </si>
  <si>
    <t>Orzhov</t>
  </si>
  <si>
    <t>Boros</t>
  </si>
  <si>
    <t>Selesnya</t>
  </si>
  <si>
    <t>Dimir</t>
  </si>
  <si>
    <t>Izzet</t>
  </si>
  <si>
    <t>Simic</t>
  </si>
  <si>
    <t>Rakdos</t>
  </si>
  <si>
    <t>Golgari</t>
  </si>
  <si>
    <t>Gruul</t>
  </si>
  <si>
    <t>SOLD! 3 Tix</t>
  </si>
  <si>
    <t>Sold 8 tix</t>
  </si>
  <si>
    <t>Sold! 4 tix</t>
  </si>
  <si>
    <t>Akroan Horse, Temple of Triumph, Celestial Archon, Labyrinth Champion, Colossus of Akros, Tymaret the Murder King, Gift of Immortality</t>
  </si>
  <si>
    <t>DRAFTED</t>
  </si>
  <si>
    <r>
      <rPr>
        <b/>
        <sz val="11"/>
        <color theme="1"/>
        <rFont val="Calibri"/>
        <family val="2"/>
        <scheme val="minor"/>
      </rPr>
      <t>Ashiok (17), Thassa (Foil) (15)</t>
    </r>
    <r>
      <rPr>
        <sz val="11"/>
        <color theme="1"/>
        <rFont val="Calibri"/>
        <family val="2"/>
        <scheme val="minor"/>
      </rPr>
      <t>, Underworld Cerberus, Akroan Horse, Abhorrent Overlord, Meletis Charlatan, Reaper of the Wilds</t>
    </r>
  </si>
  <si>
    <r>
      <t xml:space="preserve">Fabled Hero, </t>
    </r>
    <r>
      <rPr>
        <b/>
        <sz val="11"/>
        <color theme="1"/>
        <rFont val="Calibri"/>
        <family val="2"/>
        <scheme val="minor"/>
      </rPr>
      <t>Stormbreath Dragon (18)</t>
    </r>
  </si>
  <si>
    <r>
      <rPr>
        <b/>
        <sz val="11"/>
        <color theme="1"/>
        <rFont val="Calibri"/>
        <family val="2"/>
        <scheme val="minor"/>
      </rPr>
      <t xml:space="preserve">Draft Reimbursement (2), </t>
    </r>
    <r>
      <rPr>
        <sz val="11"/>
        <color theme="1"/>
        <rFont val="Calibri"/>
        <family val="2"/>
        <scheme val="minor"/>
      </rPr>
      <t>Medomai, the Ageless, Akroan Horse, Steam Augury, Chained to the Rocks, Titan of the Eternal Fire</t>
    </r>
  </si>
  <si>
    <t>Nighthowler, Titan of Eternal Fire, Prophet of Kruphix</t>
  </si>
  <si>
    <t>Medomai the Ageless, Temple of Deceit, Daxos of Meletis, Meletis Charlatan</t>
  </si>
  <si>
    <t>5Color</t>
  </si>
  <si>
    <t>Sealed</t>
  </si>
  <si>
    <t>Rd.4</t>
  </si>
  <si>
    <t>UB</t>
  </si>
  <si>
    <t>Temple of Deceit, Colossus of Akros</t>
  </si>
  <si>
    <t>Whip of Erebos (Foil), Meletis Charlatan</t>
  </si>
  <si>
    <t xml:space="preserve">THS </t>
  </si>
  <si>
    <t>1 traded to This is Perplexing</t>
  </si>
  <si>
    <r>
      <rPr>
        <b/>
        <sz val="11"/>
        <color theme="1"/>
        <rFont val="Calibri"/>
        <family val="2"/>
        <scheme val="minor"/>
      </rPr>
      <t>Hero's Downfall (8)</t>
    </r>
    <r>
      <rPr>
        <sz val="11"/>
        <color theme="1"/>
        <rFont val="Calibri"/>
        <family val="2"/>
        <scheme val="minor"/>
      </rPr>
      <t>, Pyxis of Pandemonium, Anthousa, Reaper of the Wilds, Temple of Silence</t>
    </r>
  </si>
  <si>
    <t>RG</t>
  </si>
  <si>
    <t xml:space="preserve">Steam Augury </t>
  </si>
  <si>
    <r>
      <rPr>
        <b/>
        <sz val="11"/>
        <color theme="1"/>
        <rFont val="Calibri"/>
        <family val="2"/>
        <scheme val="minor"/>
      </rPr>
      <t>Xenagos (8)</t>
    </r>
    <r>
      <rPr>
        <sz val="11"/>
        <color theme="1"/>
        <rFont val="Calibri"/>
        <family val="2"/>
        <scheme val="minor"/>
      </rPr>
      <t xml:space="preserve">, Ember Swallower, Anthousa, </t>
    </r>
    <r>
      <rPr>
        <b/>
        <sz val="11"/>
        <color theme="1"/>
        <rFont val="Calibri"/>
        <family val="2"/>
        <scheme val="minor"/>
      </rPr>
      <t>Erebos (7)</t>
    </r>
    <r>
      <rPr>
        <sz val="11"/>
        <color theme="1"/>
        <rFont val="Calibri"/>
        <family val="2"/>
        <scheme val="minor"/>
      </rPr>
      <t>, Temple of Deceit, Meletis Charlatan</t>
    </r>
  </si>
  <si>
    <r>
      <t xml:space="preserve">Sealed Entry (-20), Bought three packs (-10), Nylea, </t>
    </r>
    <r>
      <rPr>
        <b/>
        <sz val="11"/>
        <color theme="1"/>
        <rFont val="Calibri"/>
        <family val="2"/>
        <scheme val="minor"/>
      </rPr>
      <t>Xenagos (8)</t>
    </r>
    <r>
      <rPr>
        <sz val="11"/>
        <color theme="1"/>
        <rFont val="Calibri"/>
        <family val="2"/>
        <scheme val="minor"/>
      </rPr>
      <t>, Chained to the Rocks, Boon Satyr, Celestial Archon, Tymaret, the Murder King</t>
    </r>
  </si>
  <si>
    <r>
      <t xml:space="preserve">Arbor Colossus, </t>
    </r>
    <r>
      <rPr>
        <b/>
        <sz val="11"/>
        <color theme="1"/>
        <rFont val="Calibri"/>
        <family val="2"/>
        <scheme val="minor"/>
      </rPr>
      <t>(Nykthos, Shrine to Nyx 5)</t>
    </r>
    <r>
      <rPr>
        <sz val="11"/>
        <color theme="1"/>
        <rFont val="Calibri"/>
        <family val="2"/>
        <scheme val="minor"/>
      </rPr>
      <t>, Swan Song</t>
    </r>
  </si>
  <si>
    <r>
      <t xml:space="preserve">Colossus of Akros, </t>
    </r>
    <r>
      <rPr>
        <b/>
        <sz val="11"/>
        <color theme="1"/>
        <rFont val="Calibri"/>
        <family val="2"/>
        <scheme val="minor"/>
      </rPr>
      <t>(Nykthos 5)</t>
    </r>
    <r>
      <rPr>
        <sz val="11"/>
        <color theme="1"/>
        <rFont val="Calibri"/>
        <family val="2"/>
        <scheme val="minor"/>
      </rPr>
      <t>, Steam Augury</t>
    </r>
  </si>
  <si>
    <t>Labyrinth Champion, Prognostic Sphinx, Titan of Eternal Fire</t>
  </si>
  <si>
    <t>Hammer of Purpheros, Whip of Erebos, Agent of Fates, Labyrinth Champion</t>
  </si>
  <si>
    <t>WU</t>
  </si>
  <si>
    <t>Whip of Erebos, Nykthos, Reverent Hunter</t>
  </si>
  <si>
    <t>SOLD</t>
  </si>
  <si>
    <t>Sold</t>
  </si>
  <si>
    <r>
      <rPr>
        <b/>
        <sz val="11"/>
        <color theme="1"/>
        <rFont val="Calibri"/>
        <family val="2"/>
        <scheme val="minor"/>
      </rPr>
      <t>(Polukranos 9)</t>
    </r>
    <r>
      <rPr>
        <sz val="11"/>
        <color theme="1"/>
        <rFont val="Calibri"/>
        <family val="2"/>
        <scheme val="minor"/>
      </rPr>
      <t>, Temple of Abandon, Reaper of the Wilds, Pyxis of Pandemonium</t>
    </r>
  </si>
  <si>
    <r>
      <t xml:space="preserve">Curse of the Swine, Daxos of Meletis, </t>
    </r>
    <r>
      <rPr>
        <b/>
        <sz val="11"/>
        <color theme="1"/>
        <rFont val="Calibri"/>
        <family val="2"/>
        <scheme val="minor"/>
      </rPr>
      <t>Stormbreath Dragon (11)</t>
    </r>
  </si>
  <si>
    <r>
      <rPr>
        <b/>
        <sz val="11"/>
        <color theme="1"/>
        <rFont val="Calibri"/>
        <family val="2"/>
        <scheme val="minor"/>
      </rPr>
      <t>Ashen Rider (Foil) (7)</t>
    </r>
    <r>
      <rPr>
        <sz val="11"/>
        <color theme="1"/>
        <rFont val="Calibri"/>
        <family val="2"/>
        <scheme val="minor"/>
      </rPr>
      <t>, Shipbreaker Kraken (Foil)</t>
    </r>
  </si>
  <si>
    <t>Whip of Erebos, Agent of Fates, Nighthowler, Swan Song</t>
  </si>
  <si>
    <r>
      <t xml:space="preserve">Underworld Ceberus, </t>
    </r>
    <r>
      <rPr>
        <b/>
        <sz val="11"/>
        <color theme="1"/>
        <rFont val="Calibri"/>
        <family val="2"/>
        <scheme val="minor"/>
      </rPr>
      <t>Thoughtseize (7)</t>
    </r>
    <r>
      <rPr>
        <sz val="11"/>
        <color theme="1"/>
        <rFont val="Calibri"/>
        <family val="2"/>
        <scheme val="minor"/>
      </rPr>
      <t>, Agent of the Fates</t>
    </r>
  </si>
  <si>
    <r>
      <rPr>
        <b/>
        <sz val="11"/>
        <color theme="1"/>
        <rFont val="Calibri"/>
        <family val="2"/>
        <scheme val="minor"/>
      </rPr>
      <t>Stormbreath Dragon (15)</t>
    </r>
    <r>
      <rPr>
        <sz val="11"/>
        <color theme="1"/>
        <rFont val="Calibri"/>
        <family val="2"/>
        <scheme val="minor"/>
      </rPr>
      <t>, Tymaret, Ashen Rider, Temple of Silence, Anax and Cymede, Soldier of the Pantheon</t>
    </r>
  </si>
  <si>
    <t>Hammer of Purpheros, Whip of Erebos, Nighthowler</t>
  </si>
  <si>
    <t>Bident of Thassa, Ashen Rider, Whip of Erebos, Anger of the Gods, Temple of Silence, Firedrinker Satyr</t>
  </si>
  <si>
    <r>
      <rPr>
        <b/>
        <sz val="11"/>
        <color theme="1"/>
        <rFont val="Calibri"/>
        <family val="2"/>
        <scheme val="minor"/>
      </rPr>
      <t>Xenagos (9)</t>
    </r>
    <r>
      <rPr>
        <sz val="11"/>
        <color theme="1"/>
        <rFont val="Calibri"/>
        <family val="2"/>
        <scheme val="minor"/>
      </rPr>
      <t>, Pyxis, Labyrinth Champion</t>
    </r>
  </si>
  <si>
    <r>
      <rPr>
        <b/>
        <sz val="11"/>
        <color theme="1"/>
        <rFont val="Calibri"/>
        <family val="2"/>
        <scheme val="minor"/>
      </rPr>
      <t>Master of Waves (9)</t>
    </r>
    <r>
      <rPr>
        <sz val="11"/>
        <color theme="1"/>
        <rFont val="Calibri"/>
        <family val="2"/>
        <scheme val="minor"/>
      </rPr>
      <t xml:space="preserve">, Spear of Heliod, </t>
    </r>
  </si>
  <si>
    <t>Ember Swallower, Fabled Hero</t>
  </si>
  <si>
    <t xml:space="preserve">L </t>
  </si>
  <si>
    <t>Underworld Ceberus, Abhorrent Overlord, Ember Swallower, Rageblood Shaman, Shipbreaker Kraken</t>
  </si>
  <si>
    <t>WB</t>
  </si>
  <si>
    <t>Akroan Horse, Fable Hero, Temple of Deceit</t>
  </si>
  <si>
    <r>
      <rPr>
        <b/>
        <sz val="11"/>
        <color theme="1"/>
        <rFont val="Calibri"/>
        <family val="2"/>
        <scheme val="minor"/>
      </rPr>
      <t>Hero's Downfall (5)</t>
    </r>
    <r>
      <rPr>
        <sz val="11"/>
        <color theme="1"/>
        <rFont val="Calibri"/>
        <family val="2"/>
        <scheme val="minor"/>
      </rPr>
      <t>, Nylea</t>
    </r>
  </si>
  <si>
    <t>UR</t>
  </si>
  <si>
    <r>
      <rPr>
        <b/>
        <sz val="11"/>
        <color theme="1"/>
        <rFont val="Calibri"/>
        <family val="2"/>
        <scheme val="minor"/>
      </rPr>
      <t>(Master of Waves 9)</t>
    </r>
    <r>
      <rPr>
        <sz val="11"/>
        <color theme="1"/>
        <rFont val="Calibri"/>
        <family val="2"/>
        <scheme val="minor"/>
      </rPr>
      <t>, Firedrinker Satyr</t>
    </r>
  </si>
  <si>
    <t>Anax and Cymede, Ember Swallower</t>
  </si>
  <si>
    <t>Prognostic Sphinx, Colossus of Akros, Firedrinker Satyr</t>
  </si>
  <si>
    <t>Hero's Downfall (5)</t>
  </si>
  <si>
    <t xml:space="preserve">Anthousa, Hundred-Handed One, </t>
  </si>
  <si>
    <t>Splash</t>
  </si>
  <si>
    <t>BG</t>
  </si>
  <si>
    <t>WR</t>
  </si>
  <si>
    <t>GR</t>
  </si>
  <si>
    <t>WUBRG</t>
  </si>
  <si>
    <t>WG</t>
  </si>
  <si>
    <t>B</t>
  </si>
  <si>
    <t>5 Color</t>
  </si>
  <si>
    <r>
      <rPr>
        <b/>
        <sz val="11"/>
        <color theme="1"/>
        <rFont val="Calibri"/>
        <family val="2"/>
        <scheme val="minor"/>
      </rPr>
      <t>Thassa (7)</t>
    </r>
    <r>
      <rPr>
        <sz val="11"/>
        <color theme="1"/>
        <rFont val="Calibri"/>
        <family val="2"/>
        <scheme val="minor"/>
      </rPr>
      <t>, Prophet of Kruphix, Pyxis of Pandemonium, Steam Augury</t>
    </r>
  </si>
  <si>
    <t>Curse of the Swine, Celestial Archon, Meletis Charlatan</t>
  </si>
  <si>
    <r>
      <t xml:space="preserve">Anthousa, Medomai, </t>
    </r>
    <r>
      <rPr>
        <b/>
        <sz val="11"/>
        <color theme="1"/>
        <rFont val="Calibri"/>
        <family val="2"/>
        <scheme val="minor"/>
      </rPr>
      <t>Thoughtseize (5)</t>
    </r>
    <r>
      <rPr>
        <sz val="11"/>
        <color theme="1"/>
        <rFont val="Calibri"/>
        <family val="2"/>
        <scheme val="minor"/>
      </rPr>
      <t>, Pyxis of Pandemonium</t>
    </r>
  </si>
  <si>
    <r>
      <rPr>
        <b/>
        <sz val="11"/>
        <color theme="1"/>
        <rFont val="Calibri"/>
        <family val="2"/>
        <scheme val="minor"/>
      </rPr>
      <t>Thoughtseize (5)</t>
    </r>
    <r>
      <rPr>
        <sz val="11"/>
        <color theme="1"/>
        <rFont val="Calibri"/>
        <family val="2"/>
        <scheme val="minor"/>
      </rPr>
      <t>, Meletis Charlatan, Ember Swallower</t>
    </r>
  </si>
  <si>
    <r>
      <rPr>
        <b/>
        <sz val="11"/>
        <color theme="1"/>
        <rFont val="Calibri"/>
        <family val="2"/>
        <scheme val="minor"/>
      </rPr>
      <t xml:space="preserve">Thoughtseize (5), </t>
    </r>
    <r>
      <rPr>
        <sz val="11"/>
        <color theme="1"/>
        <rFont val="Calibri"/>
        <family val="2"/>
        <scheme val="minor"/>
      </rPr>
      <t>Rageblood Shaman, Temple of Mystery, Boon Satyr</t>
    </r>
  </si>
  <si>
    <t>Elspeth, Soldier of the Pantheon, Anax and Cymede</t>
  </si>
  <si>
    <t>Celestial Archon, Artisan of Forms, Polis Crusher</t>
  </si>
  <si>
    <r>
      <t xml:space="preserve">Temple of Mystery, Boon Satyr, </t>
    </r>
    <r>
      <rPr>
        <b/>
        <sz val="11"/>
        <color theme="1"/>
        <rFont val="Calibri"/>
        <family val="2"/>
        <scheme val="minor"/>
      </rPr>
      <t>Thoughtseize (5)</t>
    </r>
    <r>
      <rPr>
        <sz val="11"/>
        <color theme="1"/>
        <rFont val="Calibri"/>
        <family val="2"/>
        <scheme val="minor"/>
      </rPr>
      <t>, Rageblood Shaman</t>
    </r>
  </si>
  <si>
    <r>
      <t xml:space="preserve">Arbor Colossus, </t>
    </r>
    <r>
      <rPr>
        <b/>
        <sz val="11"/>
        <color theme="1"/>
        <rFont val="Calibri"/>
        <family val="2"/>
        <scheme val="minor"/>
      </rPr>
      <t>Master of Waves (9)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Hero's Downfall (3)</t>
    </r>
  </si>
  <si>
    <r>
      <rPr>
        <b/>
        <sz val="11"/>
        <color theme="1"/>
        <rFont val="Calibri"/>
        <family val="2"/>
        <scheme val="minor"/>
      </rPr>
      <t>Hero's Downfall (3)</t>
    </r>
    <r>
      <rPr>
        <sz val="11"/>
        <color theme="1"/>
        <rFont val="Calibri"/>
        <family val="2"/>
        <scheme val="minor"/>
      </rPr>
      <t>, Prognostic Sphinx</t>
    </r>
  </si>
  <si>
    <r>
      <rPr>
        <b/>
        <sz val="11"/>
        <color theme="1"/>
        <rFont val="Calibri"/>
        <family val="2"/>
        <scheme val="minor"/>
      </rPr>
      <t>Thassa, God of the Sea (Foil) (15)</t>
    </r>
    <r>
      <rPr>
        <sz val="11"/>
        <color theme="1"/>
        <rFont val="Calibri"/>
        <family val="2"/>
        <scheme val="minor"/>
      </rPr>
      <t>, Colossus of Akros, Swan Song</t>
    </r>
  </si>
  <si>
    <t>Polukranos, Hammer of Purpheros, Whip of Erebos, Abhorrent Overlord, Psychic Intrusion</t>
  </si>
  <si>
    <t>rg</t>
  </si>
  <si>
    <t xml:space="preserve"> </t>
  </si>
  <si>
    <t>Wins</t>
  </si>
  <si>
    <t>Losses</t>
  </si>
  <si>
    <t>Percentage</t>
  </si>
  <si>
    <t>Matches</t>
  </si>
  <si>
    <t>MATCHES</t>
  </si>
  <si>
    <t>WINS</t>
  </si>
  <si>
    <r>
      <rPr>
        <b/>
        <sz val="11"/>
        <color theme="1"/>
        <rFont val="Calibri"/>
        <family val="2"/>
        <scheme val="minor"/>
      </rPr>
      <t>Elspeth (10)</t>
    </r>
    <r>
      <rPr>
        <sz val="11"/>
        <color theme="1"/>
        <rFont val="Calibri"/>
        <family val="2"/>
        <scheme val="minor"/>
      </rPr>
      <t>, Medomai</t>
    </r>
  </si>
  <si>
    <r>
      <rPr>
        <b/>
        <sz val="11"/>
        <color theme="1"/>
        <rFont val="Calibri"/>
        <family val="2"/>
        <scheme val="minor"/>
      </rPr>
      <t>Master of Waves (9)</t>
    </r>
    <r>
      <rPr>
        <sz val="11"/>
        <color theme="1"/>
        <rFont val="Calibri"/>
        <family val="2"/>
        <scheme val="minor"/>
      </rPr>
      <t>, Curse of the Swine, Shipbreaker Kraken</t>
    </r>
  </si>
  <si>
    <t>Black</t>
  </si>
  <si>
    <t>COLOR</t>
  </si>
  <si>
    <t>WIN RATE</t>
  </si>
  <si>
    <t>Overall</t>
  </si>
  <si>
    <t>Medomai</t>
  </si>
  <si>
    <t>RU</t>
  </si>
  <si>
    <t>Spear of Heliod, ember Swallower, Meletis Charlatan, Polis Crusher</t>
  </si>
  <si>
    <t>Abhorrent Overlord, Nighthowler, Heliod</t>
  </si>
  <si>
    <t>Akroan Horse, Prognostic Sphinx</t>
  </si>
  <si>
    <t>Tymaret, Hammer of Purpheros</t>
  </si>
  <si>
    <t>Tymaret</t>
  </si>
  <si>
    <t>Rares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</si>
</sst>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Fill="1" applyBorder="1"/>
    <xf numFmtId="14" fontId="0" fillId="0" borderId="5" xfId="0" applyNumberFormat="1" applyBorder="1"/>
    <xf numFmtId="0" fontId="4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6" xfId="0" applyFill="1" applyBorder="1"/>
    <xf numFmtId="0" fontId="0" fillId="0" borderId="8" xfId="0" applyFill="1" applyBorder="1"/>
    <xf numFmtId="0" fontId="0" fillId="0" borderId="0" xfId="0" applyFill="1" applyBorder="1"/>
    <xf numFmtId="14" fontId="0" fillId="0" borderId="6" xfId="0" applyNumberFormat="1" applyBorder="1"/>
    <xf numFmtId="1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1" fillId="0" borderId="0" xfId="0" applyFont="1" applyBorder="1" applyAlignment="1">
      <alignment horizontal="left" wrapText="1" readingOrder="1"/>
    </xf>
    <xf numFmtId="0" fontId="5" fillId="0" borderId="0" xfId="0" applyFont="1"/>
    <xf numFmtId="0" fontId="0" fillId="0" borderId="7" xfId="0" applyFill="1" applyBorder="1"/>
    <xf numFmtId="0" fontId="0" fillId="0" borderId="4" xfId="0" applyBorder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Stats!$K$80</c:f>
              <c:strCache>
                <c:ptCount val="1"/>
                <c:pt idx="0">
                  <c:v>WIN RATE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5"/>
            <c:invertIfNegative val="0"/>
            <c:bubble3D val="0"/>
            <c:spPr>
              <a:gradFill>
                <a:gsLst>
                  <a:gs pos="14000">
                    <a:schemeClr val="bg1"/>
                  </a:gs>
                  <a:gs pos="74000">
                    <a:srgbClr val="FF0000"/>
                  </a:gs>
                  <a:gs pos="52000">
                    <a:schemeClr val="tx1"/>
                  </a:gs>
                  <a:gs pos="31000">
                    <a:srgbClr val="00B0F0"/>
                  </a:gs>
                  <a:gs pos="96000">
                    <a:srgbClr val="00B050"/>
                  </a:gs>
                </a:gsLst>
                <a:lin ang="5400000" scaled="0"/>
              </a:gra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cat>
            <c:strRef>
              <c:f>Stats!$H$81:$H$86</c:f>
              <c:strCache>
                <c:ptCount val="6"/>
                <c:pt idx="0">
                  <c:v>White</c:v>
                </c:pt>
                <c:pt idx="1">
                  <c:v>Blue</c:v>
                </c:pt>
                <c:pt idx="2">
                  <c:v>Black</c:v>
                </c:pt>
                <c:pt idx="3">
                  <c:v>Red</c:v>
                </c:pt>
                <c:pt idx="4">
                  <c:v>Green</c:v>
                </c:pt>
                <c:pt idx="5">
                  <c:v>Overall</c:v>
                </c:pt>
              </c:strCache>
            </c:strRef>
          </c:cat>
          <c:val>
            <c:numRef>
              <c:f>Stats!$K$81:$K$86</c:f>
              <c:numCache>
                <c:formatCode>0.00%</c:formatCode>
                <c:ptCount val="6"/>
                <c:pt idx="0">
                  <c:v>0.7142857142857143</c:v>
                </c:pt>
                <c:pt idx="1">
                  <c:v>0.71844660194174759</c:v>
                </c:pt>
                <c:pt idx="2">
                  <c:v>0.63265306122448983</c:v>
                </c:pt>
                <c:pt idx="3">
                  <c:v>0.63636363636363635</c:v>
                </c:pt>
                <c:pt idx="4">
                  <c:v>0.7407407407407407</c:v>
                </c:pt>
                <c:pt idx="5">
                  <c:v>0.68325791855203621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68896"/>
        <c:axId val="176816128"/>
      </c:barChart>
      <c:catAx>
        <c:axId val="135568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76816128"/>
        <c:crosses val="autoZero"/>
        <c:auto val="1"/>
        <c:lblAlgn val="ctr"/>
        <c:lblOffset val="100"/>
        <c:noMultiLvlLbl val="0"/>
      </c:catAx>
      <c:valAx>
        <c:axId val="176816128"/>
        <c:scaling>
          <c:orientation val="minMax"/>
          <c:max val="1"/>
          <c:min val="0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35568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23000">
                    <a:schemeClr val="bg1"/>
                  </a:gs>
                  <a:gs pos="76000">
                    <a:srgbClr val="0070C0"/>
                  </a:gs>
                </a:gsLst>
                <a:lin ang="5400000" scaled="0"/>
              </a:gra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1"/>
            <c:invertIfNegative val="0"/>
            <c:bubble3D val="0"/>
            <c:spPr>
              <a:gradFill>
                <a:gsLst>
                  <a:gs pos="23000">
                    <a:schemeClr val="bg1"/>
                  </a:gs>
                  <a:gs pos="76000">
                    <a:schemeClr val="tx1"/>
                  </a:gs>
                </a:gsLst>
                <a:lin ang="5400000" scaled="0"/>
              </a:gra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2"/>
            <c:invertIfNegative val="0"/>
            <c:bubble3D val="0"/>
            <c:spPr>
              <a:gradFill>
                <a:gsLst>
                  <a:gs pos="23000">
                    <a:schemeClr val="bg1"/>
                  </a:gs>
                  <a:gs pos="76000">
                    <a:srgbClr val="FF0000"/>
                  </a:gs>
                </a:gsLst>
                <a:lin ang="5400000" scaled="0"/>
              </a:gra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3"/>
            <c:invertIfNegative val="0"/>
            <c:bubble3D val="0"/>
            <c:spPr>
              <a:gradFill>
                <a:gsLst>
                  <a:gs pos="23000">
                    <a:schemeClr val="bg1"/>
                  </a:gs>
                  <a:gs pos="76000">
                    <a:srgbClr val="00B050"/>
                  </a:gs>
                </a:gsLst>
                <a:lin ang="5400000" scaled="0"/>
              </a:gra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4"/>
            <c:invertIfNegative val="0"/>
            <c:bubble3D val="0"/>
            <c:spPr>
              <a:gradFill>
                <a:gsLst>
                  <a:gs pos="23000">
                    <a:srgbClr val="0070C0"/>
                  </a:gs>
                  <a:gs pos="76000">
                    <a:schemeClr val="tx1"/>
                  </a:gs>
                </a:gsLst>
                <a:lin ang="5400000" scaled="0"/>
              </a:gra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5"/>
            <c:invertIfNegative val="0"/>
            <c:bubble3D val="0"/>
            <c:spPr>
              <a:gradFill>
                <a:gsLst>
                  <a:gs pos="23000">
                    <a:srgbClr val="0070C0"/>
                  </a:gs>
                  <a:gs pos="76000">
                    <a:srgbClr val="FF0000"/>
                  </a:gs>
                </a:gsLst>
                <a:lin ang="5400000" scaled="0"/>
              </a:gra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6"/>
            <c:invertIfNegative val="0"/>
            <c:bubble3D val="0"/>
            <c:spPr>
              <a:gradFill>
                <a:gsLst>
                  <a:gs pos="23000">
                    <a:srgbClr val="0070C0"/>
                  </a:gs>
                  <a:gs pos="76000">
                    <a:srgbClr val="00B050"/>
                  </a:gs>
                </a:gsLst>
                <a:lin ang="5400000" scaled="0"/>
              </a:gra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7"/>
            <c:invertIfNegative val="0"/>
            <c:bubble3D val="0"/>
            <c:spPr>
              <a:gradFill>
                <a:gsLst>
                  <a:gs pos="23000">
                    <a:schemeClr val="tx1"/>
                  </a:gs>
                  <a:gs pos="76000">
                    <a:srgbClr val="FF0000"/>
                  </a:gs>
                </a:gsLst>
                <a:lin ang="5400000" scaled="0"/>
              </a:gra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8"/>
            <c:invertIfNegative val="0"/>
            <c:bubble3D val="0"/>
            <c:spPr>
              <a:gradFill>
                <a:gsLst>
                  <a:gs pos="23000">
                    <a:schemeClr val="tx1"/>
                  </a:gs>
                  <a:gs pos="76000">
                    <a:srgbClr val="00B050"/>
                  </a:gs>
                </a:gsLst>
                <a:lin ang="5400000" scaled="0"/>
              </a:gra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9"/>
            <c:invertIfNegative val="0"/>
            <c:bubble3D val="0"/>
            <c:spPr>
              <a:gradFill>
                <a:gsLst>
                  <a:gs pos="23000">
                    <a:srgbClr val="FF0000"/>
                  </a:gs>
                  <a:gs pos="76000">
                    <a:srgbClr val="00B050"/>
                  </a:gs>
                </a:gsLst>
                <a:lin ang="5400000" scaled="0"/>
              </a:gra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10"/>
            <c:invertIfNegative val="0"/>
            <c:bubble3D val="0"/>
            <c:spPr>
              <a:gradFill>
                <a:gsLst>
                  <a:gs pos="73000">
                    <a:srgbClr val="FF0000"/>
                  </a:gs>
                  <a:gs pos="53000">
                    <a:schemeClr val="tx1"/>
                  </a:gs>
                  <a:gs pos="37000">
                    <a:srgbClr val="0070C0"/>
                  </a:gs>
                  <a:gs pos="12000">
                    <a:schemeClr val="bg1"/>
                  </a:gs>
                  <a:gs pos="90000">
                    <a:srgbClr val="00B050"/>
                  </a:gs>
                </a:gsLst>
                <a:lin ang="5400000" scaled="0"/>
              </a:gra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cat>
            <c:strRef>
              <c:f>Stats!$D$92:$D$102</c:f>
              <c:strCache>
                <c:ptCount val="11"/>
                <c:pt idx="0">
                  <c:v>Azorious</c:v>
                </c:pt>
                <c:pt idx="1">
                  <c:v>Orzhov</c:v>
                </c:pt>
                <c:pt idx="2">
                  <c:v>Boros</c:v>
                </c:pt>
                <c:pt idx="3">
                  <c:v>Selesnya</c:v>
                </c:pt>
                <c:pt idx="4">
                  <c:v>Dimir</c:v>
                </c:pt>
                <c:pt idx="5">
                  <c:v>Izzet</c:v>
                </c:pt>
                <c:pt idx="6">
                  <c:v>Simic</c:v>
                </c:pt>
                <c:pt idx="7">
                  <c:v>Rakdos</c:v>
                </c:pt>
                <c:pt idx="8">
                  <c:v>Golgari</c:v>
                </c:pt>
                <c:pt idx="9">
                  <c:v>Gruul</c:v>
                </c:pt>
                <c:pt idx="10">
                  <c:v>5 Color</c:v>
                </c:pt>
              </c:strCache>
            </c:strRef>
          </c:cat>
          <c:val>
            <c:numRef>
              <c:f>Stats!$H$92:$H$102</c:f>
              <c:numCache>
                <c:formatCode>0.00%</c:formatCode>
                <c:ptCount val="11"/>
                <c:pt idx="0">
                  <c:v>0.70270270270270274</c:v>
                </c:pt>
                <c:pt idx="1">
                  <c:v>0.5</c:v>
                </c:pt>
                <c:pt idx="2">
                  <c:v>0.75</c:v>
                </c:pt>
                <c:pt idx="3">
                  <c:v>0.875</c:v>
                </c:pt>
                <c:pt idx="4">
                  <c:v>0.76190476190476186</c:v>
                </c:pt>
                <c:pt idx="5">
                  <c:v>0.83333333333333337</c:v>
                </c:pt>
                <c:pt idx="6">
                  <c:v>0.66666666666666663</c:v>
                </c:pt>
                <c:pt idx="7">
                  <c:v>0.53488372093023251</c:v>
                </c:pt>
                <c:pt idx="8">
                  <c:v>0.77272727272727271</c:v>
                </c:pt>
                <c:pt idx="9">
                  <c:v>0.7</c:v>
                </c:pt>
                <c:pt idx="10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12576"/>
        <c:axId val="176817280"/>
      </c:barChart>
      <c:catAx>
        <c:axId val="177112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76817280"/>
        <c:crosses val="autoZero"/>
        <c:auto val="1"/>
        <c:lblAlgn val="ctr"/>
        <c:lblOffset val="100"/>
        <c:noMultiLvlLbl val="0"/>
      </c:catAx>
      <c:valAx>
        <c:axId val="1768172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77112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752" cy="62894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49"/>
  <sheetViews>
    <sheetView workbookViewId="0">
      <selection activeCell="B1" sqref="B1"/>
    </sheetView>
  </sheetViews>
  <sheetFormatPr defaultRowHeight="15" x14ac:dyDescent="0.25"/>
  <cols>
    <col min="1" max="1" width="24.7109375" bestFit="1" customWidth="1"/>
    <col min="2" max="2" width="24.85546875" bestFit="1" customWidth="1"/>
    <col min="15" max="15" width="10.140625" bestFit="1" customWidth="1"/>
  </cols>
  <sheetData>
    <row r="1" spans="1:24" ht="15.75" customHeight="1" x14ac:dyDescent="0.25">
      <c r="A1" s="18" t="s">
        <v>0</v>
      </c>
      <c r="D1" t="s">
        <v>237</v>
      </c>
      <c r="E1" t="s">
        <v>235</v>
      </c>
      <c r="F1" t="s">
        <v>236</v>
      </c>
      <c r="G1" t="s">
        <v>1</v>
      </c>
      <c r="H1" t="s">
        <v>238</v>
      </c>
      <c r="I1" t="s">
        <v>239</v>
      </c>
      <c r="J1" t="s">
        <v>240</v>
      </c>
      <c r="K1" t="s">
        <v>241</v>
      </c>
      <c r="L1" t="s">
        <v>242</v>
      </c>
      <c r="M1" t="s">
        <v>243</v>
      </c>
      <c r="N1" t="s">
        <v>244</v>
      </c>
      <c r="O1" t="s">
        <v>247</v>
      </c>
      <c r="P1" t="s">
        <v>245</v>
      </c>
      <c r="Q1" t="s">
        <v>246</v>
      </c>
    </row>
    <row r="2" spans="1:24" ht="15.75" customHeight="1" x14ac:dyDescent="0.25">
      <c r="A2" s="18" t="s">
        <v>2</v>
      </c>
      <c r="D2">
        <f>COUNTIF(C1:C300, "mR")</f>
        <v>2</v>
      </c>
      <c r="E2">
        <f>COUNTIF(C1:C300, "R")</f>
        <v>1</v>
      </c>
      <c r="F2">
        <f>COUNTIF(C1:C300, "U")</f>
        <v>0</v>
      </c>
      <c r="G2">
        <f>COUNTIF(C1:C300, "C")</f>
        <v>0</v>
      </c>
      <c r="H2">
        <f>COUNTIF(C1:C300, "L")</f>
        <v>0</v>
      </c>
      <c r="I2">
        <f>COUNTBLANK(A1:A249)</f>
        <v>3</v>
      </c>
      <c r="J2">
        <f>COUNTBLANK(A1:A37)</f>
        <v>0</v>
      </c>
      <c r="K2">
        <f>COUNTBLANK(A38:A74)</f>
        <v>0</v>
      </c>
      <c r="L2">
        <f>COUNTBLANK(A75:A110)</f>
        <v>1</v>
      </c>
      <c r="M2">
        <f>COUNTBLANK(A111:A147)</f>
        <v>1</v>
      </c>
      <c r="N2">
        <f>COUNTBLANK(A148:A184)</f>
        <v>0</v>
      </c>
      <c r="O2">
        <f>COUNTBLANK(A185:A209)</f>
        <v>1</v>
      </c>
      <c r="P2">
        <f>COUNTBLANK(A210:A222)</f>
        <v>0</v>
      </c>
      <c r="Q2">
        <f>COUNTBLANK(A223:A249)</f>
        <v>0</v>
      </c>
      <c r="R2">
        <f>SUM(J2:Q2)</f>
        <v>3</v>
      </c>
      <c r="T2">
        <v>2</v>
      </c>
      <c r="U2" t="s">
        <v>237</v>
      </c>
      <c r="V2">
        <f>T2*2</f>
        <v>4</v>
      </c>
      <c r="W2">
        <f>T2*3</f>
        <v>6</v>
      </c>
      <c r="X2">
        <f>T2*4</f>
        <v>8</v>
      </c>
    </row>
    <row r="3" spans="1:24" ht="15.75" customHeight="1" x14ac:dyDescent="0.25">
      <c r="A3" s="18" t="s">
        <v>3</v>
      </c>
      <c r="T3">
        <v>7</v>
      </c>
      <c r="U3" t="s">
        <v>235</v>
      </c>
      <c r="V3">
        <f>T3*2</f>
        <v>14</v>
      </c>
      <c r="W3">
        <f>T3*3</f>
        <v>21</v>
      </c>
      <c r="X3">
        <f>T3*4</f>
        <v>28</v>
      </c>
    </row>
    <row r="4" spans="1:24" ht="15.75" customHeight="1" x14ac:dyDescent="0.25">
      <c r="A4" s="18" t="s">
        <v>4</v>
      </c>
      <c r="T4">
        <v>9</v>
      </c>
      <c r="U4" t="s">
        <v>236</v>
      </c>
      <c r="V4">
        <f>T4*2</f>
        <v>18</v>
      </c>
      <c r="W4">
        <f>T4*3</f>
        <v>27</v>
      </c>
      <c r="X4">
        <f>T4*4</f>
        <v>36</v>
      </c>
    </row>
    <row r="5" spans="1:24" ht="15.75" customHeight="1" x14ac:dyDescent="0.25">
      <c r="A5" s="18" t="s">
        <v>5</v>
      </c>
      <c r="T5">
        <v>19</v>
      </c>
      <c r="U5" t="s">
        <v>1</v>
      </c>
      <c r="V5">
        <f>T5*2</f>
        <v>38</v>
      </c>
      <c r="W5">
        <f>T5*3</f>
        <v>57</v>
      </c>
      <c r="X5">
        <f>T5*4</f>
        <v>76</v>
      </c>
    </row>
    <row r="6" spans="1:24" ht="15.75" customHeight="1" x14ac:dyDescent="0.25">
      <c r="A6" s="18" t="s">
        <v>6</v>
      </c>
    </row>
    <row r="7" spans="1:24" ht="15.75" customHeight="1" x14ac:dyDescent="0.25">
      <c r="A7" s="18" t="s">
        <v>7</v>
      </c>
    </row>
    <row r="8" spans="1:24" ht="15.75" customHeight="1" x14ac:dyDescent="0.25">
      <c r="A8" s="18" t="s">
        <v>8</v>
      </c>
    </row>
    <row r="9" spans="1:24" ht="15.75" customHeight="1" x14ac:dyDescent="0.25">
      <c r="A9" s="18" t="s">
        <v>9</v>
      </c>
    </row>
    <row r="10" spans="1:24" ht="15.75" customHeight="1" x14ac:dyDescent="0.25">
      <c r="A10" s="18" t="s">
        <v>10</v>
      </c>
      <c r="B10" s="17"/>
    </row>
    <row r="11" spans="1:24" ht="15.75" customHeight="1" x14ac:dyDescent="0.25">
      <c r="A11" s="18" t="s">
        <v>11</v>
      </c>
    </row>
    <row r="12" spans="1:24" ht="15.75" customHeight="1" x14ac:dyDescent="0.25">
      <c r="A12" s="18" t="s">
        <v>12</v>
      </c>
      <c r="B12" s="17"/>
    </row>
    <row r="13" spans="1:24" ht="15.75" customHeight="1" x14ac:dyDescent="0.25">
      <c r="A13" s="18" t="s">
        <v>13</v>
      </c>
    </row>
    <row r="14" spans="1:24" ht="15.75" customHeight="1" x14ac:dyDescent="0.25">
      <c r="A14" s="18" t="s">
        <v>14</v>
      </c>
    </row>
    <row r="15" spans="1:24" ht="15.75" customHeight="1" x14ac:dyDescent="0.25">
      <c r="A15" s="18" t="s">
        <v>15</v>
      </c>
    </row>
    <row r="16" spans="1:24" ht="15.75" customHeight="1" x14ac:dyDescent="0.25">
      <c r="A16" s="18" t="s">
        <v>16</v>
      </c>
    </row>
    <row r="17" spans="1:2" ht="15.75" customHeight="1" x14ac:dyDescent="0.25">
      <c r="A17" s="18" t="s">
        <v>17</v>
      </c>
    </row>
    <row r="18" spans="1:2" ht="15.75" customHeight="1" x14ac:dyDescent="0.25">
      <c r="A18" s="18" t="s">
        <v>18</v>
      </c>
    </row>
    <row r="19" spans="1:2" ht="15.75" customHeight="1" x14ac:dyDescent="0.25">
      <c r="A19" s="18" t="s">
        <v>19</v>
      </c>
    </row>
    <row r="20" spans="1:2" ht="15.75" customHeight="1" x14ac:dyDescent="0.25">
      <c r="A20" s="18" t="s">
        <v>20</v>
      </c>
    </row>
    <row r="21" spans="1:2" ht="15.75" customHeight="1" x14ac:dyDescent="0.25">
      <c r="A21" s="18" t="s">
        <v>21</v>
      </c>
    </row>
    <row r="22" spans="1:2" ht="15.75" customHeight="1" x14ac:dyDescent="0.25">
      <c r="A22" s="18" t="s">
        <v>22</v>
      </c>
    </row>
    <row r="23" spans="1:2" ht="15.75" customHeight="1" x14ac:dyDescent="0.25">
      <c r="A23" s="18" t="s">
        <v>23</v>
      </c>
    </row>
    <row r="24" spans="1:2" ht="15.75" customHeight="1" x14ac:dyDescent="0.25">
      <c r="A24" s="18" t="s">
        <v>24</v>
      </c>
    </row>
    <row r="25" spans="1:2" ht="15.75" customHeight="1" x14ac:dyDescent="0.25">
      <c r="A25" s="18" t="s">
        <v>25</v>
      </c>
    </row>
    <row r="26" spans="1:2" ht="15.75" customHeight="1" x14ac:dyDescent="0.25">
      <c r="A26" s="18" t="s">
        <v>26</v>
      </c>
    </row>
    <row r="27" spans="1:2" ht="15.75" customHeight="1" x14ac:dyDescent="0.25">
      <c r="A27" s="18" t="s">
        <v>27</v>
      </c>
    </row>
    <row r="28" spans="1:2" ht="15.75" customHeight="1" x14ac:dyDescent="0.25">
      <c r="A28" s="18" t="s">
        <v>28</v>
      </c>
    </row>
    <row r="29" spans="1:2" ht="15.75" customHeight="1" x14ac:dyDescent="0.25">
      <c r="A29" s="18" t="s">
        <v>29</v>
      </c>
    </row>
    <row r="30" spans="1:2" ht="15.75" customHeight="1" x14ac:dyDescent="0.25">
      <c r="A30" s="18" t="s">
        <v>30</v>
      </c>
    </row>
    <row r="31" spans="1:2" ht="15.75" customHeight="1" x14ac:dyDescent="0.25">
      <c r="A31" s="18" t="s">
        <v>31</v>
      </c>
      <c r="B31" s="17"/>
    </row>
    <row r="32" spans="1:2" ht="15.75" customHeight="1" x14ac:dyDescent="0.25">
      <c r="A32" s="18" t="s">
        <v>32</v>
      </c>
    </row>
    <row r="33" spans="1:2" ht="15.75" customHeight="1" x14ac:dyDescent="0.25">
      <c r="A33" s="18" t="s">
        <v>33</v>
      </c>
    </row>
    <row r="34" spans="1:2" ht="15.75" customHeight="1" x14ac:dyDescent="0.25">
      <c r="A34" s="18" t="s">
        <v>34</v>
      </c>
    </row>
    <row r="35" spans="1:2" ht="15.75" customHeight="1" x14ac:dyDescent="0.25">
      <c r="A35" s="18" t="s">
        <v>35</v>
      </c>
    </row>
    <row r="36" spans="1:2" ht="15.75" customHeight="1" x14ac:dyDescent="0.25">
      <c r="A36" s="18" t="s">
        <v>36</v>
      </c>
    </row>
    <row r="37" spans="1:2" ht="15.75" customHeight="1" x14ac:dyDescent="0.25">
      <c r="A37" s="18" t="s">
        <v>37</v>
      </c>
    </row>
    <row r="38" spans="1:2" ht="15.75" customHeight="1" x14ac:dyDescent="0.25">
      <c r="A38" s="18" t="s">
        <v>38</v>
      </c>
    </row>
    <row r="39" spans="1:2" ht="15.75" customHeight="1" x14ac:dyDescent="0.25">
      <c r="A39" s="18" t="s">
        <v>39</v>
      </c>
    </row>
    <row r="40" spans="1:2" ht="15.75" customHeight="1" x14ac:dyDescent="0.25">
      <c r="A40" s="18" t="s">
        <v>40</v>
      </c>
    </row>
    <row r="41" spans="1:2" ht="15.75" customHeight="1" x14ac:dyDescent="0.25">
      <c r="A41" s="18" t="s">
        <v>41</v>
      </c>
      <c r="B41" s="17"/>
    </row>
    <row r="42" spans="1:2" ht="15.75" customHeight="1" x14ac:dyDescent="0.25">
      <c r="A42" s="18" t="s">
        <v>42</v>
      </c>
    </row>
    <row r="43" spans="1:2" ht="15.75" customHeight="1" x14ac:dyDescent="0.25">
      <c r="A43" s="18" t="s">
        <v>43</v>
      </c>
    </row>
    <row r="44" spans="1:2" ht="15.75" customHeight="1" x14ac:dyDescent="0.25">
      <c r="A44" s="18" t="s">
        <v>44</v>
      </c>
    </row>
    <row r="45" spans="1:2" ht="15.75" customHeight="1" x14ac:dyDescent="0.25">
      <c r="A45" s="18" t="s">
        <v>45</v>
      </c>
    </row>
    <row r="46" spans="1:2" ht="15.75" customHeight="1" x14ac:dyDescent="0.25">
      <c r="A46" s="18" t="s">
        <v>46</v>
      </c>
      <c r="B46" s="17"/>
    </row>
    <row r="47" spans="1:2" ht="15.75" customHeight="1" x14ac:dyDescent="0.25">
      <c r="A47" s="18" t="s">
        <v>47</v>
      </c>
    </row>
    <row r="48" spans="1:2" ht="15.75" customHeight="1" x14ac:dyDescent="0.25">
      <c r="A48" s="18" t="s">
        <v>48</v>
      </c>
    </row>
    <row r="49" spans="1:1" ht="15.75" customHeight="1" x14ac:dyDescent="0.25">
      <c r="A49" s="18" t="s">
        <v>49</v>
      </c>
    </row>
    <row r="50" spans="1:1" ht="15.75" customHeight="1" x14ac:dyDescent="0.25">
      <c r="A50" s="18" t="s">
        <v>50</v>
      </c>
    </row>
    <row r="51" spans="1:1" ht="15.75" customHeight="1" x14ac:dyDescent="0.25">
      <c r="A51" s="18" t="s">
        <v>51</v>
      </c>
    </row>
    <row r="52" spans="1:1" ht="15.75" customHeight="1" x14ac:dyDescent="0.25">
      <c r="A52" s="18" t="s">
        <v>52</v>
      </c>
    </row>
    <row r="53" spans="1:1" ht="15.75" customHeight="1" x14ac:dyDescent="0.25">
      <c r="A53" s="18" t="s">
        <v>53</v>
      </c>
    </row>
    <row r="54" spans="1:1" ht="15.75" customHeight="1" x14ac:dyDescent="0.25">
      <c r="A54" s="18" t="s">
        <v>54</v>
      </c>
    </row>
    <row r="55" spans="1:1" ht="15.75" customHeight="1" x14ac:dyDescent="0.25">
      <c r="A55" s="18" t="s">
        <v>55</v>
      </c>
    </row>
    <row r="56" spans="1:1" ht="15.75" customHeight="1" x14ac:dyDescent="0.25">
      <c r="A56" s="18" t="s">
        <v>56</v>
      </c>
    </row>
    <row r="57" spans="1:1" ht="15.75" customHeight="1" x14ac:dyDescent="0.25">
      <c r="A57" s="18" t="s">
        <v>57</v>
      </c>
    </row>
    <row r="58" spans="1:1" ht="15.75" customHeight="1" x14ac:dyDescent="0.25">
      <c r="A58" s="18" t="s">
        <v>58</v>
      </c>
    </row>
    <row r="59" spans="1:1" ht="15.75" customHeight="1" x14ac:dyDescent="0.25">
      <c r="A59" s="18" t="s">
        <v>59</v>
      </c>
    </row>
    <row r="60" spans="1:1" ht="15.75" customHeight="1" x14ac:dyDescent="0.25">
      <c r="A60" s="18" t="s">
        <v>60</v>
      </c>
    </row>
    <row r="61" spans="1:1" ht="15.75" customHeight="1" x14ac:dyDescent="0.25">
      <c r="A61" s="18" t="s">
        <v>61</v>
      </c>
    </row>
    <row r="62" spans="1:1" ht="15.75" customHeight="1" x14ac:dyDescent="0.25">
      <c r="A62" s="18" t="s">
        <v>62</v>
      </c>
    </row>
    <row r="63" spans="1:1" ht="15.75" customHeight="1" x14ac:dyDescent="0.25">
      <c r="A63" s="18" t="s">
        <v>63</v>
      </c>
    </row>
    <row r="64" spans="1:1" ht="15.75" customHeight="1" x14ac:dyDescent="0.25">
      <c r="A64" s="18" t="s">
        <v>64</v>
      </c>
    </row>
    <row r="65" spans="1:4" ht="15.75" customHeight="1" x14ac:dyDescent="0.25">
      <c r="A65" s="18" t="s">
        <v>65</v>
      </c>
    </row>
    <row r="66" spans="1:4" ht="15.75" customHeight="1" x14ac:dyDescent="0.25">
      <c r="A66" s="18" t="s">
        <v>66</v>
      </c>
      <c r="D66" t="s">
        <v>327</v>
      </c>
    </row>
    <row r="67" spans="1:4" ht="15.75" customHeight="1" x14ac:dyDescent="0.25">
      <c r="A67" s="18" t="s">
        <v>67</v>
      </c>
    </row>
    <row r="68" spans="1:4" ht="15.75" customHeight="1" x14ac:dyDescent="0.25">
      <c r="A68" s="18" t="s">
        <v>68</v>
      </c>
    </row>
    <row r="69" spans="1:4" ht="15.75" customHeight="1" x14ac:dyDescent="0.25">
      <c r="A69" s="18" t="s">
        <v>69</v>
      </c>
    </row>
    <row r="70" spans="1:4" ht="15.75" customHeight="1" x14ac:dyDescent="0.25">
      <c r="A70" s="18" t="s">
        <v>70</v>
      </c>
      <c r="B70" s="17"/>
    </row>
    <row r="71" spans="1:4" ht="15.75" customHeight="1" x14ac:dyDescent="0.25">
      <c r="A71" s="18" t="s">
        <v>71</v>
      </c>
    </row>
    <row r="72" spans="1:4" ht="15.75" customHeight="1" x14ac:dyDescent="0.25">
      <c r="A72" s="18" t="s">
        <v>72</v>
      </c>
    </row>
    <row r="73" spans="1:4" ht="15.75" customHeight="1" x14ac:dyDescent="0.25">
      <c r="A73" s="18" t="s">
        <v>73</v>
      </c>
    </row>
    <row r="74" spans="1:4" ht="15.75" customHeight="1" x14ac:dyDescent="0.25">
      <c r="A74" s="18" t="s">
        <v>74</v>
      </c>
    </row>
    <row r="75" spans="1:4" ht="15.75" customHeight="1" x14ac:dyDescent="0.25">
      <c r="A75" s="18" t="s">
        <v>75</v>
      </c>
    </row>
    <row r="76" spans="1:4" ht="15.75" customHeight="1" x14ac:dyDescent="0.25">
      <c r="A76" s="18" t="s">
        <v>76</v>
      </c>
    </row>
    <row r="77" spans="1:4" ht="15.75" customHeight="1" x14ac:dyDescent="0.25">
      <c r="A77" s="18" t="s">
        <v>77</v>
      </c>
    </row>
    <row r="78" spans="1:4" ht="15.75" customHeight="1" x14ac:dyDescent="0.25">
      <c r="A78" s="18" t="s">
        <v>78</v>
      </c>
      <c r="B78" s="17"/>
    </row>
    <row r="79" spans="1:4" ht="15.75" customHeight="1" x14ac:dyDescent="0.25">
      <c r="A79" s="18" t="s">
        <v>79</v>
      </c>
      <c r="B79" s="17"/>
    </row>
    <row r="80" spans="1:4" ht="15.75" customHeight="1" x14ac:dyDescent="0.25">
      <c r="A80" s="18" t="s">
        <v>80</v>
      </c>
      <c r="B80" s="17"/>
    </row>
    <row r="81" spans="1:4" ht="15.75" customHeight="1" x14ac:dyDescent="0.25">
      <c r="A81" s="18" t="s">
        <v>81</v>
      </c>
      <c r="B81" s="17"/>
    </row>
    <row r="82" spans="1:4" ht="15.75" customHeight="1" x14ac:dyDescent="0.25">
      <c r="A82" s="18" t="s">
        <v>82</v>
      </c>
    </row>
    <row r="83" spans="1:4" ht="15.75" customHeight="1" x14ac:dyDescent="0.25">
      <c r="A83" s="18" t="s">
        <v>83</v>
      </c>
    </row>
    <row r="84" spans="1:4" ht="15.75" customHeight="1" x14ac:dyDescent="0.25">
      <c r="A84" s="18" t="s">
        <v>84</v>
      </c>
      <c r="B84" s="17"/>
    </row>
    <row r="85" spans="1:4" ht="15.75" customHeight="1" x14ac:dyDescent="0.25">
      <c r="A85" s="18" t="s">
        <v>85</v>
      </c>
      <c r="D85" t="s">
        <v>298</v>
      </c>
    </row>
    <row r="86" spans="1:4" ht="15.75" customHeight="1" x14ac:dyDescent="0.25">
      <c r="A86" s="18" t="s">
        <v>86</v>
      </c>
    </row>
    <row r="87" spans="1:4" ht="15.75" customHeight="1" x14ac:dyDescent="0.25">
      <c r="A87" s="18" t="s">
        <v>87</v>
      </c>
      <c r="B87" s="17"/>
    </row>
    <row r="88" spans="1:4" ht="15.75" customHeight="1" x14ac:dyDescent="0.25">
      <c r="A88" s="18" t="s">
        <v>88</v>
      </c>
    </row>
    <row r="89" spans="1:4" ht="15.75" customHeight="1" x14ac:dyDescent="0.25">
      <c r="A89" s="18" t="s">
        <v>89</v>
      </c>
      <c r="B89" s="17"/>
      <c r="D89" t="s">
        <v>315</v>
      </c>
    </row>
    <row r="90" spans="1:4" ht="15.75" customHeight="1" x14ac:dyDescent="0.25">
      <c r="A90" s="18" t="s">
        <v>90</v>
      </c>
      <c r="D90" t="s">
        <v>328</v>
      </c>
    </row>
    <row r="91" spans="1:4" ht="15.75" customHeight="1" x14ac:dyDescent="0.25">
      <c r="A91" s="17"/>
      <c r="B91" s="18" t="s">
        <v>91</v>
      </c>
      <c r="C91" t="s">
        <v>237</v>
      </c>
    </row>
    <row r="92" spans="1:4" ht="15.75" customHeight="1" x14ac:dyDescent="0.25">
      <c r="A92" s="18" t="s">
        <v>92</v>
      </c>
      <c r="B92" s="17"/>
    </row>
    <row r="93" spans="1:4" ht="15.75" customHeight="1" x14ac:dyDescent="0.25">
      <c r="A93" s="18" t="s">
        <v>93</v>
      </c>
    </row>
    <row r="94" spans="1:4" ht="15.75" customHeight="1" x14ac:dyDescent="0.25">
      <c r="A94" s="18" t="s">
        <v>94</v>
      </c>
    </row>
    <row r="95" spans="1:4" ht="15.75" customHeight="1" x14ac:dyDescent="0.25">
      <c r="A95" s="18" t="s">
        <v>95</v>
      </c>
      <c r="B95" s="17"/>
    </row>
    <row r="96" spans="1:4" ht="15.75" customHeight="1" x14ac:dyDescent="0.25">
      <c r="A96" s="18" t="s">
        <v>96</v>
      </c>
    </row>
    <row r="97" spans="1:4" ht="15.75" customHeight="1" x14ac:dyDescent="0.25">
      <c r="A97" s="18" t="s">
        <v>97</v>
      </c>
    </row>
    <row r="98" spans="1:4" ht="15.75" customHeight="1" x14ac:dyDescent="0.25">
      <c r="A98" s="18" t="s">
        <v>98</v>
      </c>
    </row>
    <row r="99" spans="1:4" ht="15.75" customHeight="1" x14ac:dyDescent="0.25">
      <c r="A99" s="18" t="s">
        <v>99</v>
      </c>
    </row>
    <row r="100" spans="1:4" ht="15.75" customHeight="1" x14ac:dyDescent="0.25">
      <c r="A100" s="18" t="s">
        <v>100</v>
      </c>
      <c r="B100" s="17"/>
    </row>
    <row r="101" spans="1:4" ht="15.75" customHeight="1" x14ac:dyDescent="0.25">
      <c r="A101" s="18" t="s">
        <v>101</v>
      </c>
      <c r="B101" s="17"/>
    </row>
    <row r="102" spans="1:4" ht="15.75" customHeight="1" x14ac:dyDescent="0.25">
      <c r="A102" s="18" t="s">
        <v>102</v>
      </c>
      <c r="B102" s="17"/>
    </row>
    <row r="103" spans="1:4" ht="15.75" customHeight="1" x14ac:dyDescent="0.25">
      <c r="A103" s="18" t="s">
        <v>103</v>
      </c>
    </row>
    <row r="104" spans="1:4" ht="15.75" customHeight="1" x14ac:dyDescent="0.25">
      <c r="A104" s="18" t="s">
        <v>104</v>
      </c>
    </row>
    <row r="105" spans="1:4" ht="15.75" customHeight="1" x14ac:dyDescent="0.25">
      <c r="A105" s="18" t="s">
        <v>105</v>
      </c>
      <c r="B105" s="17"/>
    </row>
    <row r="106" spans="1:4" ht="15.75" customHeight="1" x14ac:dyDescent="0.25">
      <c r="A106" s="18" t="s">
        <v>106</v>
      </c>
      <c r="B106" s="17"/>
    </row>
    <row r="107" spans="1:4" ht="15.75" customHeight="1" x14ac:dyDescent="0.25">
      <c r="A107" s="18" t="s">
        <v>107</v>
      </c>
      <c r="D107" t="s">
        <v>299</v>
      </c>
    </row>
    <row r="108" spans="1:4" ht="15.75" customHeight="1" x14ac:dyDescent="0.25">
      <c r="A108" s="18" t="s">
        <v>108</v>
      </c>
    </row>
    <row r="109" spans="1:4" ht="15.75" customHeight="1" x14ac:dyDescent="0.25">
      <c r="A109" s="18" t="s">
        <v>109</v>
      </c>
    </row>
    <row r="110" spans="1:4" ht="15.75" customHeight="1" x14ac:dyDescent="0.25">
      <c r="A110" s="18" t="s">
        <v>110</v>
      </c>
    </row>
    <row r="111" spans="1:4" ht="15.75" customHeight="1" x14ac:dyDescent="0.25">
      <c r="A111" s="18" t="s">
        <v>111</v>
      </c>
    </row>
    <row r="112" spans="1:4" ht="15.75" customHeight="1" x14ac:dyDescent="0.25">
      <c r="A112" s="18" t="s">
        <v>112</v>
      </c>
      <c r="D112" t="s">
        <v>279</v>
      </c>
    </row>
    <row r="113" spans="1:2" ht="15.75" customHeight="1" x14ac:dyDescent="0.25">
      <c r="A113" s="18" t="s">
        <v>113</v>
      </c>
      <c r="B113" s="17"/>
    </row>
    <row r="114" spans="1:2" ht="15.75" customHeight="1" x14ac:dyDescent="0.25">
      <c r="A114" s="18" t="s">
        <v>114</v>
      </c>
    </row>
    <row r="115" spans="1:2" ht="15.75" customHeight="1" x14ac:dyDescent="0.25">
      <c r="A115" s="18" t="s">
        <v>115</v>
      </c>
      <c r="B115" s="17"/>
    </row>
    <row r="116" spans="1:2" ht="15.75" customHeight="1" x14ac:dyDescent="0.25">
      <c r="A116" s="18" t="s">
        <v>116</v>
      </c>
    </row>
    <row r="117" spans="1:2" ht="15.75" customHeight="1" x14ac:dyDescent="0.25">
      <c r="A117" s="18" t="s">
        <v>117</v>
      </c>
    </row>
    <row r="118" spans="1:2" ht="15.75" customHeight="1" x14ac:dyDescent="0.25">
      <c r="A118" s="18" t="s">
        <v>118</v>
      </c>
    </row>
    <row r="119" spans="1:2" ht="15.75" customHeight="1" x14ac:dyDescent="0.25">
      <c r="A119" s="18" t="s">
        <v>119</v>
      </c>
    </row>
    <row r="120" spans="1:2" ht="15.75" customHeight="1" x14ac:dyDescent="0.25">
      <c r="A120" s="18" t="s">
        <v>120</v>
      </c>
    </row>
    <row r="121" spans="1:2" ht="15.75" customHeight="1" x14ac:dyDescent="0.25">
      <c r="A121" s="18" t="s">
        <v>121</v>
      </c>
    </row>
    <row r="122" spans="1:2" ht="15.75" customHeight="1" x14ac:dyDescent="0.25">
      <c r="A122" s="18" t="s">
        <v>122</v>
      </c>
    </row>
    <row r="123" spans="1:2" ht="15.75" customHeight="1" x14ac:dyDescent="0.25">
      <c r="A123" s="18" t="s">
        <v>123</v>
      </c>
    </row>
    <row r="124" spans="1:2" ht="15.75" customHeight="1" x14ac:dyDescent="0.25">
      <c r="A124" s="18" t="s">
        <v>124</v>
      </c>
    </row>
    <row r="125" spans="1:2" ht="15.75" customHeight="1" x14ac:dyDescent="0.25">
      <c r="A125" s="18" t="s">
        <v>125</v>
      </c>
    </row>
    <row r="126" spans="1:2" ht="15.75" customHeight="1" x14ac:dyDescent="0.25">
      <c r="A126" s="18" t="s">
        <v>126</v>
      </c>
    </row>
    <row r="127" spans="1:2" ht="15.75" customHeight="1" x14ac:dyDescent="0.25">
      <c r="A127" s="18" t="s">
        <v>127</v>
      </c>
      <c r="B127" s="17"/>
    </row>
    <row r="128" spans="1:2" ht="15.75" customHeight="1" x14ac:dyDescent="0.25">
      <c r="A128" s="18" t="s">
        <v>128</v>
      </c>
      <c r="B128" s="17"/>
    </row>
    <row r="129" spans="1:4" ht="15.75" customHeight="1" x14ac:dyDescent="0.25">
      <c r="A129" s="18" t="s">
        <v>129</v>
      </c>
    </row>
    <row r="130" spans="1:4" ht="15.75" customHeight="1" x14ac:dyDescent="0.25">
      <c r="A130" s="18" t="s">
        <v>130</v>
      </c>
    </row>
    <row r="131" spans="1:4" ht="15.75" customHeight="1" x14ac:dyDescent="0.25">
      <c r="A131" s="18" t="s">
        <v>131</v>
      </c>
    </row>
    <row r="132" spans="1:4" ht="15.75" customHeight="1" x14ac:dyDescent="0.25">
      <c r="A132" s="18" t="s">
        <v>132</v>
      </c>
    </row>
    <row r="133" spans="1:4" ht="15.75" customHeight="1" x14ac:dyDescent="0.25">
      <c r="A133" s="18" t="s">
        <v>133</v>
      </c>
    </row>
    <row r="134" spans="1:4" ht="15.75" customHeight="1" x14ac:dyDescent="0.25">
      <c r="A134" s="18" t="s">
        <v>134</v>
      </c>
    </row>
    <row r="135" spans="1:4" ht="15.75" customHeight="1" x14ac:dyDescent="0.25">
      <c r="A135" s="17"/>
      <c r="B135" s="18" t="s">
        <v>135</v>
      </c>
      <c r="C135" t="s">
        <v>237</v>
      </c>
    </row>
    <row r="136" spans="1:4" ht="15.75" customHeight="1" x14ac:dyDescent="0.25">
      <c r="A136" s="18" t="s">
        <v>136</v>
      </c>
      <c r="B136" s="17"/>
    </row>
    <row r="137" spans="1:4" ht="15.75" customHeight="1" x14ac:dyDescent="0.25">
      <c r="A137" s="18" t="s">
        <v>137</v>
      </c>
    </row>
    <row r="138" spans="1:4" ht="15.75" customHeight="1" x14ac:dyDescent="0.25">
      <c r="A138" s="18" t="s">
        <v>138</v>
      </c>
    </row>
    <row r="139" spans="1:4" ht="15.75" customHeight="1" x14ac:dyDescent="0.25">
      <c r="A139" s="18" t="s">
        <v>139</v>
      </c>
      <c r="B139" s="17"/>
    </row>
    <row r="140" spans="1:4" ht="15.75" customHeight="1" x14ac:dyDescent="0.25">
      <c r="A140" s="18" t="s">
        <v>140</v>
      </c>
    </row>
    <row r="141" spans="1:4" ht="15.75" customHeight="1" x14ac:dyDescent="0.25">
      <c r="A141" s="18" t="s">
        <v>141</v>
      </c>
    </row>
    <row r="142" spans="1:4" ht="15.75" customHeight="1" x14ac:dyDescent="0.25">
      <c r="A142" s="18" t="s">
        <v>142</v>
      </c>
    </row>
    <row r="143" spans="1:4" ht="15.75" customHeight="1" x14ac:dyDescent="0.25">
      <c r="A143" s="18" t="s">
        <v>143</v>
      </c>
      <c r="D143" t="s">
        <v>280</v>
      </c>
    </row>
    <row r="144" spans="1:4" ht="15.75" customHeight="1" x14ac:dyDescent="0.25">
      <c r="A144" s="18" t="s">
        <v>144</v>
      </c>
    </row>
    <row r="145" spans="1:4" ht="15.75" customHeight="1" x14ac:dyDescent="0.25">
      <c r="A145" s="18" t="s">
        <v>145</v>
      </c>
    </row>
    <row r="146" spans="1:4" ht="15.75" customHeight="1" x14ac:dyDescent="0.25">
      <c r="A146" s="18" t="s">
        <v>146</v>
      </c>
    </row>
    <row r="147" spans="1:4" ht="15.75" customHeight="1" x14ac:dyDescent="0.25">
      <c r="A147" s="18" t="s">
        <v>147</v>
      </c>
    </row>
    <row r="148" spans="1:4" ht="15.75" customHeight="1" x14ac:dyDescent="0.25">
      <c r="A148" s="18" t="s">
        <v>148</v>
      </c>
    </row>
    <row r="149" spans="1:4" ht="15.75" customHeight="1" x14ac:dyDescent="0.25">
      <c r="A149" s="18" t="s">
        <v>149</v>
      </c>
    </row>
    <row r="150" spans="1:4" ht="15.75" customHeight="1" x14ac:dyDescent="0.25">
      <c r="A150" s="18" t="s">
        <v>150</v>
      </c>
    </row>
    <row r="151" spans="1:4" ht="15.75" customHeight="1" x14ac:dyDescent="0.25">
      <c r="A151" s="18" t="s">
        <v>151</v>
      </c>
    </row>
    <row r="152" spans="1:4" ht="15.75" customHeight="1" x14ac:dyDescent="0.25">
      <c r="A152" s="18" t="s">
        <v>152</v>
      </c>
      <c r="D152">
        <v>4</v>
      </c>
    </row>
    <row r="153" spans="1:4" ht="15.75" customHeight="1" x14ac:dyDescent="0.25">
      <c r="A153" s="18" t="s">
        <v>153</v>
      </c>
    </row>
    <row r="154" spans="1:4" ht="15.75" customHeight="1" x14ac:dyDescent="0.25">
      <c r="A154" s="18" t="s">
        <v>154</v>
      </c>
    </row>
    <row r="155" spans="1:4" ht="15.75" customHeight="1" x14ac:dyDescent="0.25">
      <c r="A155" s="18" t="s">
        <v>155</v>
      </c>
    </row>
    <row r="156" spans="1:4" ht="15.75" customHeight="1" x14ac:dyDescent="0.25">
      <c r="A156" s="18" t="s">
        <v>156</v>
      </c>
    </row>
    <row r="157" spans="1:4" ht="15.75" customHeight="1" x14ac:dyDescent="0.25">
      <c r="A157" s="18" t="s">
        <v>157</v>
      </c>
    </row>
    <row r="158" spans="1:4" ht="15.75" customHeight="1" x14ac:dyDescent="0.25">
      <c r="A158" s="18" t="s">
        <v>158</v>
      </c>
    </row>
    <row r="159" spans="1:4" ht="15.75" customHeight="1" x14ac:dyDescent="0.25">
      <c r="A159" s="18" t="s">
        <v>159</v>
      </c>
    </row>
    <row r="160" spans="1:4" ht="15.75" customHeight="1" x14ac:dyDescent="0.25">
      <c r="A160" s="18" t="s">
        <v>160</v>
      </c>
    </row>
    <row r="161" spans="1:4" ht="15.75" customHeight="1" x14ac:dyDescent="0.25">
      <c r="A161" s="18" t="s">
        <v>161</v>
      </c>
    </row>
    <row r="162" spans="1:4" ht="15.75" customHeight="1" x14ac:dyDescent="0.25">
      <c r="A162" s="18" t="s">
        <v>162</v>
      </c>
      <c r="D162" t="s">
        <v>279</v>
      </c>
    </row>
    <row r="163" spans="1:4" ht="15.75" customHeight="1" x14ac:dyDescent="0.25">
      <c r="A163" s="18" t="s">
        <v>163</v>
      </c>
    </row>
    <row r="164" spans="1:4" ht="15.75" customHeight="1" x14ac:dyDescent="0.25">
      <c r="A164" s="18" t="s">
        <v>164</v>
      </c>
      <c r="B164" s="17"/>
    </row>
    <row r="165" spans="1:4" ht="15.75" customHeight="1" x14ac:dyDescent="0.25">
      <c r="A165" s="18" t="s">
        <v>165</v>
      </c>
    </row>
    <row r="166" spans="1:4" ht="15.75" customHeight="1" x14ac:dyDescent="0.25">
      <c r="A166" s="18" t="s">
        <v>166</v>
      </c>
      <c r="D166" t="s">
        <v>285</v>
      </c>
    </row>
    <row r="167" spans="1:4" ht="15.75" customHeight="1" x14ac:dyDescent="0.25">
      <c r="A167" s="18" t="s">
        <v>167</v>
      </c>
    </row>
    <row r="168" spans="1:4" ht="15.75" customHeight="1" x14ac:dyDescent="0.25">
      <c r="A168" s="18" t="s">
        <v>168</v>
      </c>
    </row>
    <row r="169" spans="1:4" ht="15.75" customHeight="1" x14ac:dyDescent="0.25">
      <c r="A169" s="18" t="s">
        <v>169</v>
      </c>
    </row>
    <row r="170" spans="1:4" ht="15.75" customHeight="1" x14ac:dyDescent="0.25">
      <c r="A170" s="18" t="s">
        <v>170</v>
      </c>
    </row>
    <row r="171" spans="1:4" ht="15.75" customHeight="1" x14ac:dyDescent="0.25">
      <c r="A171" s="18" t="s">
        <v>171</v>
      </c>
    </row>
    <row r="172" spans="1:4" ht="15.75" customHeight="1" x14ac:dyDescent="0.25">
      <c r="A172" s="18" t="s">
        <v>172</v>
      </c>
    </row>
    <row r="173" spans="1:4" ht="15.75" customHeight="1" x14ac:dyDescent="0.25">
      <c r="A173" s="18" t="s">
        <v>173</v>
      </c>
    </row>
    <row r="174" spans="1:4" ht="15.75" customHeight="1" x14ac:dyDescent="0.25">
      <c r="A174" s="18" t="s">
        <v>174</v>
      </c>
    </row>
    <row r="175" spans="1:4" ht="15.75" customHeight="1" x14ac:dyDescent="0.25">
      <c r="A175" s="18" t="s">
        <v>175</v>
      </c>
    </row>
    <row r="176" spans="1:4" ht="15.75" customHeight="1" x14ac:dyDescent="0.25">
      <c r="A176" s="18" t="s">
        <v>176</v>
      </c>
    </row>
    <row r="177" spans="1:4" ht="15.75" customHeight="1" x14ac:dyDescent="0.25">
      <c r="A177" s="18" t="s">
        <v>177</v>
      </c>
    </row>
    <row r="178" spans="1:4" ht="15.75" customHeight="1" x14ac:dyDescent="0.25">
      <c r="A178" s="18" t="s">
        <v>178</v>
      </c>
    </row>
    <row r="179" spans="1:4" ht="15.75" customHeight="1" x14ac:dyDescent="0.25">
      <c r="A179" s="18" t="s">
        <v>179</v>
      </c>
    </row>
    <row r="180" spans="1:4" ht="15.75" customHeight="1" x14ac:dyDescent="0.25">
      <c r="A180" s="18" t="s">
        <v>180</v>
      </c>
      <c r="D180" t="s">
        <v>300</v>
      </c>
    </row>
    <row r="181" spans="1:4" ht="15.75" customHeight="1" x14ac:dyDescent="0.25">
      <c r="A181" s="18" t="s">
        <v>181</v>
      </c>
    </row>
    <row r="182" spans="1:4" ht="15.75" customHeight="1" x14ac:dyDescent="0.25">
      <c r="A182" s="18" t="s">
        <v>182</v>
      </c>
    </row>
    <row r="183" spans="1:4" ht="15.75" customHeight="1" x14ac:dyDescent="0.25">
      <c r="A183" s="18" t="s">
        <v>183</v>
      </c>
    </row>
    <row r="184" spans="1:4" ht="15.75" customHeight="1" x14ac:dyDescent="0.25">
      <c r="A184" s="18" t="s">
        <v>184</v>
      </c>
    </row>
    <row r="185" spans="1:4" ht="15.75" customHeight="1" x14ac:dyDescent="0.25">
      <c r="A185" s="18" t="s">
        <v>185</v>
      </c>
    </row>
    <row r="186" spans="1:4" ht="15.75" customHeight="1" x14ac:dyDescent="0.25">
      <c r="A186" s="18" t="s">
        <v>186</v>
      </c>
    </row>
    <row r="187" spans="1:4" ht="15.75" customHeight="1" x14ac:dyDescent="0.25">
      <c r="A187" s="18" t="s">
        <v>187</v>
      </c>
    </row>
    <row r="188" spans="1:4" ht="15.75" customHeight="1" x14ac:dyDescent="0.25">
      <c r="A188" s="18" t="s">
        <v>188</v>
      </c>
      <c r="D188" t="s">
        <v>302</v>
      </c>
    </row>
    <row r="189" spans="1:4" ht="15.75" customHeight="1" x14ac:dyDescent="0.25">
      <c r="A189" s="18" t="s">
        <v>189</v>
      </c>
    </row>
    <row r="190" spans="1:4" ht="15.75" customHeight="1" x14ac:dyDescent="0.25">
      <c r="A190" s="18" t="s">
        <v>190</v>
      </c>
    </row>
    <row r="191" spans="1:4" ht="15.75" customHeight="1" x14ac:dyDescent="0.25">
      <c r="A191" s="18" t="s">
        <v>191</v>
      </c>
    </row>
    <row r="192" spans="1:4" ht="15.75" customHeight="1" x14ac:dyDescent="0.25">
      <c r="A192" s="18" t="s">
        <v>192</v>
      </c>
    </row>
    <row r="193" spans="1:3" ht="15.75" customHeight="1" x14ac:dyDescent="0.25">
      <c r="A193" s="17"/>
      <c r="B193" s="18" t="s">
        <v>193</v>
      </c>
      <c r="C193" t="s">
        <v>235</v>
      </c>
    </row>
    <row r="194" spans="1:3" ht="15.75" customHeight="1" x14ac:dyDescent="0.25">
      <c r="A194" s="18" t="s">
        <v>194</v>
      </c>
    </row>
    <row r="195" spans="1:3" ht="15.75" customHeight="1" x14ac:dyDescent="0.25">
      <c r="A195" s="18" t="s">
        <v>195</v>
      </c>
      <c r="B195" s="17"/>
    </row>
    <row r="196" spans="1:3" ht="15.75" customHeight="1" x14ac:dyDescent="0.25">
      <c r="A196" s="18" t="s">
        <v>196</v>
      </c>
    </row>
    <row r="197" spans="1:3" ht="15.75" customHeight="1" x14ac:dyDescent="0.25">
      <c r="A197" s="18" t="s">
        <v>197</v>
      </c>
    </row>
    <row r="198" spans="1:3" ht="15.75" customHeight="1" x14ac:dyDescent="0.25">
      <c r="A198" s="18" t="s">
        <v>198</v>
      </c>
    </row>
    <row r="199" spans="1:3" ht="15.75" customHeight="1" x14ac:dyDescent="0.25">
      <c r="A199" s="18" t="s">
        <v>199</v>
      </c>
    </row>
    <row r="200" spans="1:3" ht="15.75" customHeight="1" x14ac:dyDescent="0.25">
      <c r="A200" s="18" t="s">
        <v>200</v>
      </c>
    </row>
    <row r="201" spans="1:3" ht="15.75" customHeight="1" x14ac:dyDescent="0.25">
      <c r="A201" s="18" t="s">
        <v>201</v>
      </c>
    </row>
    <row r="202" spans="1:3" ht="15.75" customHeight="1" x14ac:dyDescent="0.25">
      <c r="A202" s="18" t="s">
        <v>202</v>
      </c>
    </row>
    <row r="203" spans="1:3" ht="15.75" customHeight="1" x14ac:dyDescent="0.25">
      <c r="A203" s="18" t="s">
        <v>203</v>
      </c>
      <c r="B203" s="17"/>
    </row>
    <row r="204" spans="1:3" ht="15.75" customHeight="1" x14ac:dyDescent="0.25">
      <c r="A204" s="18" t="s">
        <v>204</v>
      </c>
    </row>
    <row r="205" spans="1:3" ht="15.75" customHeight="1" x14ac:dyDescent="0.25">
      <c r="A205" s="18" t="s">
        <v>205</v>
      </c>
    </row>
    <row r="206" spans="1:3" ht="15.75" customHeight="1" x14ac:dyDescent="0.25">
      <c r="A206" s="18" t="s">
        <v>206</v>
      </c>
    </row>
    <row r="207" spans="1:3" ht="15.75" customHeight="1" x14ac:dyDescent="0.25">
      <c r="A207" s="18" t="s">
        <v>207</v>
      </c>
    </row>
    <row r="208" spans="1:3" ht="15.75" customHeight="1" x14ac:dyDescent="0.25">
      <c r="A208" s="18" t="s">
        <v>208</v>
      </c>
    </row>
    <row r="209" spans="1:2" ht="15.75" customHeight="1" x14ac:dyDescent="0.25">
      <c r="A209" s="18" t="s">
        <v>209</v>
      </c>
    </row>
    <row r="210" spans="1:2" ht="15.75" customHeight="1" x14ac:dyDescent="0.25">
      <c r="A210" s="18" t="s">
        <v>210</v>
      </c>
    </row>
    <row r="211" spans="1:2" ht="15.75" customHeight="1" x14ac:dyDescent="0.25">
      <c r="A211" s="18" t="s">
        <v>211</v>
      </c>
    </row>
    <row r="212" spans="1:2" ht="15.75" customHeight="1" x14ac:dyDescent="0.25">
      <c r="A212" s="18" t="s">
        <v>212</v>
      </c>
      <c r="B212" s="17"/>
    </row>
    <row r="213" spans="1:2" ht="15.75" customHeight="1" x14ac:dyDescent="0.25">
      <c r="A213" s="18" t="s">
        <v>213</v>
      </c>
    </row>
    <row r="214" spans="1:2" ht="15.75" customHeight="1" x14ac:dyDescent="0.25">
      <c r="A214" s="18" t="s">
        <v>214</v>
      </c>
    </row>
    <row r="215" spans="1:2" ht="15.75" customHeight="1" x14ac:dyDescent="0.25">
      <c r="A215" s="18" t="s">
        <v>215</v>
      </c>
    </row>
    <row r="216" spans="1:2" ht="15.75" customHeight="1" x14ac:dyDescent="0.25">
      <c r="A216" s="18" t="s">
        <v>216</v>
      </c>
    </row>
    <row r="217" spans="1:2" ht="15.75" customHeight="1" x14ac:dyDescent="0.25">
      <c r="A217" s="18" t="s">
        <v>217</v>
      </c>
      <c r="B217" s="17"/>
    </row>
    <row r="218" spans="1:2" ht="15.75" customHeight="1" x14ac:dyDescent="0.25">
      <c r="A218" s="18" t="s">
        <v>218</v>
      </c>
    </row>
    <row r="219" spans="1:2" ht="15.75" customHeight="1" x14ac:dyDescent="0.25">
      <c r="A219" s="18" t="s">
        <v>219</v>
      </c>
    </row>
    <row r="220" spans="1:2" ht="15.75" customHeight="1" x14ac:dyDescent="0.25">
      <c r="A220" s="18" t="s">
        <v>220</v>
      </c>
    </row>
    <row r="221" spans="1:2" ht="15.75" customHeight="1" x14ac:dyDescent="0.25">
      <c r="A221" s="18" t="s">
        <v>221</v>
      </c>
    </row>
    <row r="222" spans="1:2" ht="15.75" customHeight="1" x14ac:dyDescent="0.25">
      <c r="A222" s="18" t="s">
        <v>222</v>
      </c>
    </row>
    <row r="223" spans="1:2" ht="15.75" customHeight="1" x14ac:dyDescent="0.25">
      <c r="A223" s="18" t="s">
        <v>223</v>
      </c>
    </row>
    <row r="224" spans="1:2" ht="15.75" customHeight="1" x14ac:dyDescent="0.25">
      <c r="A224" s="18" t="s">
        <v>224</v>
      </c>
    </row>
    <row r="225" spans="1:2" ht="15.75" customHeight="1" x14ac:dyDescent="0.25">
      <c r="A225" s="18" t="s">
        <v>225</v>
      </c>
    </row>
    <row r="226" spans="1:2" ht="15.75" customHeight="1" x14ac:dyDescent="0.25">
      <c r="A226" s="18" t="s">
        <v>226</v>
      </c>
    </row>
    <row r="227" spans="1:2" ht="15.75" customHeight="1" x14ac:dyDescent="0.25">
      <c r="A227" s="18" t="s">
        <v>227</v>
      </c>
    </row>
    <row r="228" spans="1:2" ht="15.75" customHeight="1" x14ac:dyDescent="0.25">
      <c r="A228" s="18" t="s">
        <v>228</v>
      </c>
    </row>
    <row r="229" spans="1:2" ht="15.75" customHeight="1" x14ac:dyDescent="0.25">
      <c r="A229" s="18" t="s">
        <v>229</v>
      </c>
      <c r="B229" s="17"/>
    </row>
    <row r="230" spans="1:2" ht="15.75" customHeight="1" x14ac:dyDescent="0.25">
      <c r="A230" s="18" t="s">
        <v>230</v>
      </c>
    </row>
    <row r="231" spans="1:2" ht="15.75" customHeight="1" x14ac:dyDescent="0.25">
      <c r="A231" s="18" t="s">
        <v>230</v>
      </c>
    </row>
    <row r="232" spans="1:2" ht="15.75" customHeight="1" x14ac:dyDescent="0.25">
      <c r="A232" s="18" t="s">
        <v>230</v>
      </c>
    </row>
    <row r="233" spans="1:2" ht="15.75" customHeight="1" x14ac:dyDescent="0.25">
      <c r="A233" s="18" t="s">
        <v>230</v>
      </c>
    </row>
    <row r="234" spans="1:2" ht="15.75" customHeight="1" x14ac:dyDescent="0.25">
      <c r="A234" s="18" t="s">
        <v>231</v>
      </c>
    </row>
    <row r="235" spans="1:2" ht="15.75" customHeight="1" x14ac:dyDescent="0.25">
      <c r="A235" s="18" t="s">
        <v>231</v>
      </c>
    </row>
    <row r="236" spans="1:2" ht="15.75" customHeight="1" x14ac:dyDescent="0.25">
      <c r="A236" s="18" t="s">
        <v>231</v>
      </c>
    </row>
    <row r="237" spans="1:2" ht="15.75" customHeight="1" x14ac:dyDescent="0.25">
      <c r="A237" s="18" t="s">
        <v>231</v>
      </c>
    </row>
    <row r="238" spans="1:2" ht="15.75" customHeight="1" x14ac:dyDescent="0.25">
      <c r="A238" s="18" t="s">
        <v>232</v>
      </c>
    </row>
    <row r="239" spans="1:2" ht="15.75" customHeight="1" x14ac:dyDescent="0.25">
      <c r="A239" s="18" t="s">
        <v>232</v>
      </c>
    </row>
    <row r="240" spans="1:2" ht="15.75" customHeight="1" x14ac:dyDescent="0.25">
      <c r="A240" s="18" t="s">
        <v>232</v>
      </c>
    </row>
    <row r="241" spans="1:2" ht="15.75" customHeight="1" x14ac:dyDescent="0.25">
      <c r="A241" s="18" t="s">
        <v>232</v>
      </c>
      <c r="B241" s="17"/>
    </row>
    <row r="242" spans="1:2" ht="15.75" customHeight="1" x14ac:dyDescent="0.25">
      <c r="A242" s="18" t="s">
        <v>233</v>
      </c>
    </row>
    <row r="243" spans="1:2" ht="15.75" customHeight="1" x14ac:dyDescent="0.25">
      <c r="A243" s="18" t="s">
        <v>233</v>
      </c>
    </row>
    <row r="244" spans="1:2" ht="15.75" customHeight="1" x14ac:dyDescent="0.25">
      <c r="A244" s="18" t="s">
        <v>233</v>
      </c>
    </row>
    <row r="245" spans="1:2" ht="15.75" customHeight="1" x14ac:dyDescent="0.25">
      <c r="A245" s="18" t="s">
        <v>233</v>
      </c>
      <c r="B245" s="17"/>
    </row>
    <row r="246" spans="1:2" ht="15.75" customHeight="1" x14ac:dyDescent="0.25">
      <c r="A246" s="18" t="s">
        <v>234</v>
      </c>
    </row>
    <row r="247" spans="1:2" ht="15.75" customHeight="1" x14ac:dyDescent="0.25">
      <c r="A247" s="18" t="s">
        <v>234</v>
      </c>
    </row>
    <row r="248" spans="1:2" ht="15.75" customHeight="1" x14ac:dyDescent="0.25">
      <c r="A248" s="18" t="s">
        <v>234</v>
      </c>
    </row>
    <row r="249" spans="1:2" ht="15.75" customHeight="1" x14ac:dyDescent="0.25">
      <c r="A249" s="18" t="s">
        <v>234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02"/>
  <sheetViews>
    <sheetView tabSelected="1" topLeftCell="A34" workbookViewId="0">
      <selection activeCell="A73" sqref="A73"/>
    </sheetView>
  </sheetViews>
  <sheetFormatPr defaultRowHeight="15" x14ac:dyDescent="0.25"/>
  <cols>
    <col min="1" max="1" width="10.7109375" bestFit="1" customWidth="1"/>
    <col min="2" max="2" width="9" customWidth="1"/>
    <col min="21" max="21" width="10.42578125" bestFit="1" customWidth="1"/>
    <col min="22" max="22" width="9.5703125" bestFit="1" customWidth="1"/>
    <col min="23" max="23" width="7.7109375" bestFit="1" customWidth="1"/>
    <col min="24" max="24" width="25" bestFit="1" customWidth="1"/>
    <col min="25" max="25" width="22.7109375" bestFit="1" customWidth="1"/>
    <col min="26" max="26" width="12.42578125" bestFit="1" customWidth="1"/>
    <col min="27" max="27" width="24" bestFit="1" customWidth="1"/>
    <col min="28" max="28" width="77.140625" bestFit="1" customWidth="1"/>
    <col min="30" max="30" width="16.5703125" customWidth="1"/>
    <col min="31" max="37" width="10" bestFit="1" customWidth="1"/>
  </cols>
  <sheetData>
    <row r="1" spans="1:42" x14ac:dyDescent="0.25">
      <c r="A1" s="1" t="s">
        <v>248</v>
      </c>
      <c r="B1" s="2" t="s">
        <v>249</v>
      </c>
      <c r="C1" s="2" t="s">
        <v>250</v>
      </c>
      <c r="D1" s="2" t="s">
        <v>251</v>
      </c>
      <c r="E1" s="2" t="s">
        <v>252</v>
      </c>
      <c r="F1" s="2" t="s">
        <v>351</v>
      </c>
      <c r="G1" s="2" t="s">
        <v>253</v>
      </c>
      <c r="H1" s="2" t="s">
        <v>254</v>
      </c>
      <c r="I1" s="2" t="s">
        <v>238</v>
      </c>
      <c r="J1" s="2" t="s">
        <v>255</v>
      </c>
      <c r="K1" s="2" t="s">
        <v>254</v>
      </c>
      <c r="L1" s="2" t="s">
        <v>238</v>
      </c>
      <c r="M1" s="2" t="s">
        <v>256</v>
      </c>
      <c r="N1" s="2" t="s">
        <v>254</v>
      </c>
      <c r="O1" s="2" t="s">
        <v>238</v>
      </c>
      <c r="P1" s="2" t="s">
        <v>310</v>
      </c>
      <c r="Q1" s="2" t="s">
        <v>254</v>
      </c>
      <c r="R1" s="2" t="s">
        <v>238</v>
      </c>
      <c r="S1" s="2" t="s">
        <v>257</v>
      </c>
      <c r="T1" s="2" t="s">
        <v>258</v>
      </c>
      <c r="U1" s="2" t="s">
        <v>259</v>
      </c>
      <c r="V1" s="2" t="s">
        <v>260</v>
      </c>
      <c r="W1" s="2" t="s">
        <v>261</v>
      </c>
      <c r="X1" s="3" t="s">
        <v>262</v>
      </c>
      <c r="Y1" s="3" t="s">
        <v>263</v>
      </c>
      <c r="Z1" s="4" t="s">
        <v>264</v>
      </c>
      <c r="AA1" s="4" t="s">
        <v>265</v>
      </c>
      <c r="AB1" s="4" t="s">
        <v>392</v>
      </c>
      <c r="AC1" t="s">
        <v>266</v>
      </c>
      <c r="AD1" t="s">
        <v>267</v>
      </c>
      <c r="AE1" t="s">
        <v>268</v>
      </c>
      <c r="AF1" t="s">
        <v>269</v>
      </c>
      <c r="AG1" t="s">
        <v>270</v>
      </c>
      <c r="AH1" t="s">
        <v>271</v>
      </c>
      <c r="AI1" t="s">
        <v>272</v>
      </c>
      <c r="AJ1" t="s">
        <v>273</v>
      </c>
      <c r="AK1" t="s">
        <v>274</v>
      </c>
      <c r="AL1" t="s">
        <v>275</v>
      </c>
      <c r="AO1" s="19" t="s">
        <v>288</v>
      </c>
      <c r="AP1">
        <v>8</v>
      </c>
    </row>
    <row r="2" spans="1:42" x14ac:dyDescent="0.25">
      <c r="A2" s="5">
        <v>41552</v>
      </c>
      <c r="B2" s="6" t="s">
        <v>277</v>
      </c>
      <c r="C2" s="7">
        <v>1</v>
      </c>
      <c r="D2" s="7" t="s">
        <v>276</v>
      </c>
      <c r="E2" s="7" t="s">
        <v>278</v>
      </c>
      <c r="F2" s="7"/>
      <c r="G2" s="7" t="s">
        <v>254</v>
      </c>
      <c r="H2" s="7">
        <v>2</v>
      </c>
      <c r="I2" s="7">
        <v>0</v>
      </c>
      <c r="J2" s="7" t="s">
        <v>254</v>
      </c>
      <c r="K2" s="7">
        <v>2</v>
      </c>
      <c r="L2" s="7">
        <v>0</v>
      </c>
      <c r="M2" s="7" t="s">
        <v>254</v>
      </c>
      <c r="N2" s="7">
        <v>2</v>
      </c>
      <c r="O2" s="7">
        <v>0</v>
      </c>
      <c r="P2" s="7"/>
      <c r="Q2" s="7"/>
      <c r="R2" s="7"/>
      <c r="S2" s="7">
        <v>3</v>
      </c>
      <c r="T2" s="7">
        <v>0</v>
      </c>
      <c r="U2" s="7">
        <v>4</v>
      </c>
      <c r="V2" s="7">
        <v>1</v>
      </c>
      <c r="W2" s="7">
        <v>-15</v>
      </c>
      <c r="X2" s="8">
        <f t="shared" ref="X2:X73" si="0">(3-U2)*(-4)-2</f>
        <v>2</v>
      </c>
      <c r="Y2" s="8">
        <f>Z2+W2+AA2</f>
        <v>8</v>
      </c>
      <c r="Z2" s="9">
        <v>0</v>
      </c>
      <c r="AA2" s="10">
        <v>23</v>
      </c>
      <c r="AB2" t="s">
        <v>284</v>
      </c>
      <c r="AC2">
        <v>6052217</v>
      </c>
      <c r="AD2">
        <v>291672736</v>
      </c>
      <c r="AE2">
        <v>291674342</v>
      </c>
      <c r="AG2">
        <v>291679304</v>
      </c>
      <c r="AH2">
        <v>291680178</v>
      </c>
      <c r="AO2" t="s">
        <v>289</v>
      </c>
      <c r="AP2">
        <v>1</v>
      </c>
    </row>
    <row r="3" spans="1:42" x14ac:dyDescent="0.25">
      <c r="A3" s="5">
        <v>41553</v>
      </c>
      <c r="B3" s="6" t="s">
        <v>277</v>
      </c>
      <c r="C3" s="7">
        <v>2</v>
      </c>
      <c r="D3" s="7" t="s">
        <v>276</v>
      </c>
      <c r="E3" s="7" t="s">
        <v>352</v>
      </c>
      <c r="F3" s="7" t="s">
        <v>236</v>
      </c>
      <c r="G3" s="7" t="s">
        <v>238</v>
      </c>
      <c r="H3" s="7">
        <v>1</v>
      </c>
      <c r="I3" s="7">
        <v>2</v>
      </c>
      <c r="J3" s="7" t="s">
        <v>254</v>
      </c>
      <c r="K3" s="7">
        <v>2</v>
      </c>
      <c r="L3" s="7">
        <v>1</v>
      </c>
      <c r="M3" s="7" t="s">
        <v>254</v>
      </c>
      <c r="N3" s="7">
        <v>2</v>
      </c>
      <c r="O3" s="7">
        <v>0</v>
      </c>
      <c r="P3" s="7"/>
      <c r="Q3" s="7"/>
      <c r="R3" s="7"/>
      <c r="S3" s="7">
        <v>2</v>
      </c>
      <c r="T3" s="7">
        <v>1</v>
      </c>
      <c r="U3" s="7">
        <v>2</v>
      </c>
      <c r="V3" s="7">
        <v>-1</v>
      </c>
      <c r="W3" s="7">
        <v>-15</v>
      </c>
      <c r="X3" s="8">
        <f t="shared" si="0"/>
        <v>-6</v>
      </c>
      <c r="Y3" s="8">
        <f>Z3+W3+AA3</f>
        <v>-15</v>
      </c>
      <c r="Z3" s="9">
        <v>0</v>
      </c>
      <c r="AA3" s="11"/>
      <c r="AO3" t="s">
        <v>290</v>
      </c>
      <c r="AP3">
        <v>3</v>
      </c>
    </row>
    <row r="4" spans="1:42" x14ac:dyDescent="0.25">
      <c r="A4" s="5">
        <v>41554</v>
      </c>
      <c r="B4" s="6" t="s">
        <v>277</v>
      </c>
      <c r="C4" s="7">
        <v>3</v>
      </c>
      <c r="D4" s="7" t="s">
        <v>276</v>
      </c>
      <c r="E4" s="7" t="s">
        <v>281</v>
      </c>
      <c r="F4" s="7"/>
      <c r="G4" s="7" t="s">
        <v>238</v>
      </c>
      <c r="H4" s="7">
        <v>1</v>
      </c>
      <c r="I4" s="7">
        <v>2</v>
      </c>
      <c r="J4" s="7" t="s">
        <v>254</v>
      </c>
      <c r="K4" s="7">
        <v>2</v>
      </c>
      <c r="L4" s="7">
        <v>0</v>
      </c>
      <c r="M4" s="7" t="s">
        <v>254</v>
      </c>
      <c r="N4" s="7">
        <v>2</v>
      </c>
      <c r="O4" s="7">
        <v>1</v>
      </c>
      <c r="P4" s="7"/>
      <c r="Q4" s="7"/>
      <c r="R4" s="7"/>
      <c r="S4" s="7">
        <v>2</v>
      </c>
      <c r="T4" s="7">
        <v>1</v>
      </c>
      <c r="U4" s="7">
        <v>2</v>
      </c>
      <c r="V4" s="7">
        <v>-1</v>
      </c>
      <c r="W4" s="7">
        <v>-15</v>
      </c>
      <c r="X4" s="8">
        <f t="shared" si="0"/>
        <v>-6</v>
      </c>
      <c r="Y4" s="8">
        <f>Z4+W4+AA4</f>
        <v>-8</v>
      </c>
      <c r="Z4" s="9">
        <v>0</v>
      </c>
      <c r="AA4" s="10">
        <v>7</v>
      </c>
      <c r="AB4" t="s">
        <v>282</v>
      </c>
      <c r="AD4">
        <v>292149374</v>
      </c>
      <c r="AE4">
        <v>292146954</v>
      </c>
      <c r="AF4">
        <v>292149374</v>
      </c>
      <c r="AG4">
        <v>292157674</v>
      </c>
      <c r="AH4">
        <v>292160444</v>
      </c>
      <c r="AJ4">
        <v>292167648</v>
      </c>
      <c r="AK4">
        <v>292168778</v>
      </c>
      <c r="AO4" s="19" t="s">
        <v>291</v>
      </c>
      <c r="AP4">
        <v>1</v>
      </c>
    </row>
    <row r="5" spans="1:42" x14ac:dyDescent="0.25">
      <c r="A5" s="5">
        <v>41555</v>
      </c>
      <c r="B5" s="6" t="s">
        <v>277</v>
      </c>
      <c r="C5" s="7">
        <v>4</v>
      </c>
      <c r="D5" s="6" t="s">
        <v>276</v>
      </c>
      <c r="E5" s="6" t="s">
        <v>281</v>
      </c>
      <c r="F5" s="6"/>
      <c r="G5" s="6" t="s">
        <v>254</v>
      </c>
      <c r="H5" s="7">
        <v>2</v>
      </c>
      <c r="I5" s="7">
        <v>0</v>
      </c>
      <c r="J5" s="6" t="s">
        <v>254</v>
      </c>
      <c r="K5" s="7">
        <v>2</v>
      </c>
      <c r="L5" s="7">
        <v>1</v>
      </c>
      <c r="M5" s="6" t="s">
        <v>254</v>
      </c>
      <c r="N5" s="7">
        <v>2</v>
      </c>
      <c r="O5" s="7">
        <v>1</v>
      </c>
      <c r="P5" s="7"/>
      <c r="Q5" s="7"/>
      <c r="R5" s="7"/>
      <c r="S5" s="7">
        <v>3</v>
      </c>
      <c r="T5" s="7">
        <v>0</v>
      </c>
      <c r="U5" s="7">
        <v>3</v>
      </c>
      <c r="V5" s="7">
        <v>0</v>
      </c>
      <c r="W5" s="7">
        <v>-2</v>
      </c>
      <c r="X5" s="8">
        <f t="shared" si="0"/>
        <v>-2</v>
      </c>
      <c r="Y5" s="8">
        <f>Z5+W5+AA5</f>
        <v>7</v>
      </c>
      <c r="Z5" s="9">
        <v>0</v>
      </c>
      <c r="AA5" s="10">
        <v>9</v>
      </c>
      <c r="AB5" t="s">
        <v>283</v>
      </c>
      <c r="AO5" s="19" t="s">
        <v>292</v>
      </c>
      <c r="AP5">
        <v>5</v>
      </c>
    </row>
    <row r="6" spans="1:42" x14ac:dyDescent="0.25">
      <c r="A6" s="5">
        <v>41556</v>
      </c>
      <c r="B6" s="7" t="s">
        <v>277</v>
      </c>
      <c r="C6" s="7">
        <v>5</v>
      </c>
      <c r="D6" s="7" t="s">
        <v>276</v>
      </c>
      <c r="E6" s="7" t="s">
        <v>281</v>
      </c>
      <c r="F6" s="7" t="s">
        <v>235</v>
      </c>
      <c r="G6" s="7" t="s">
        <v>254</v>
      </c>
      <c r="H6" s="7">
        <v>2</v>
      </c>
      <c r="I6" s="7">
        <v>0</v>
      </c>
      <c r="J6" s="7" t="s">
        <v>254</v>
      </c>
      <c r="K6" s="7">
        <v>2</v>
      </c>
      <c r="L6" s="7">
        <v>1</v>
      </c>
      <c r="M6" s="7" t="s">
        <v>254</v>
      </c>
      <c r="N6" s="7">
        <v>2</v>
      </c>
      <c r="O6" s="7">
        <v>1</v>
      </c>
      <c r="P6" s="7"/>
      <c r="Q6" s="7"/>
      <c r="R6" s="7"/>
      <c r="S6" s="7">
        <v>3</v>
      </c>
      <c r="T6" s="7">
        <v>0</v>
      </c>
      <c r="U6" s="7">
        <v>3</v>
      </c>
      <c r="V6" s="7">
        <v>0</v>
      </c>
      <c r="W6" s="7">
        <v>-2</v>
      </c>
      <c r="X6" s="8">
        <f t="shared" si="0"/>
        <v>-2</v>
      </c>
      <c r="Y6" s="8">
        <f>Z6+W6+AA6</f>
        <v>10</v>
      </c>
      <c r="Z6" s="9">
        <v>0</v>
      </c>
      <c r="AA6" s="10">
        <v>12</v>
      </c>
      <c r="AB6" t="s">
        <v>286</v>
      </c>
      <c r="AO6" s="19" t="s">
        <v>293</v>
      </c>
      <c r="AP6">
        <v>3</v>
      </c>
    </row>
    <row r="7" spans="1:42" x14ac:dyDescent="0.25">
      <c r="A7" s="5">
        <v>41556</v>
      </c>
      <c r="B7" s="7" t="s">
        <v>277</v>
      </c>
      <c r="C7" s="7">
        <v>6</v>
      </c>
      <c r="D7" s="7" t="s">
        <v>276</v>
      </c>
      <c r="E7" s="7" t="s">
        <v>278</v>
      </c>
      <c r="F7" s="7"/>
      <c r="G7" s="7" t="s">
        <v>238</v>
      </c>
      <c r="H7" s="7">
        <v>0</v>
      </c>
      <c r="I7" s="7">
        <v>2</v>
      </c>
      <c r="J7" s="7" t="s">
        <v>254</v>
      </c>
      <c r="K7" s="7">
        <v>2</v>
      </c>
      <c r="L7" s="7">
        <v>1</v>
      </c>
      <c r="M7" s="7" t="s">
        <v>238</v>
      </c>
      <c r="N7" s="7">
        <v>0</v>
      </c>
      <c r="O7" s="7">
        <v>2</v>
      </c>
      <c r="P7" s="7"/>
      <c r="Q7" s="7"/>
      <c r="R7" s="7"/>
      <c r="S7" s="7">
        <v>1</v>
      </c>
      <c r="T7" s="7">
        <v>2</v>
      </c>
      <c r="U7" s="7">
        <v>1</v>
      </c>
      <c r="V7" s="7">
        <v>-2</v>
      </c>
      <c r="W7" s="7">
        <v>-2</v>
      </c>
      <c r="X7" s="8">
        <f t="shared" si="0"/>
        <v>-10</v>
      </c>
      <c r="Y7" s="8">
        <f>Z7+W7+AA7</f>
        <v>5</v>
      </c>
      <c r="Z7" s="9">
        <v>0</v>
      </c>
      <c r="AA7" s="4">
        <v>7</v>
      </c>
      <c r="AB7" t="s">
        <v>287</v>
      </c>
      <c r="AO7" s="19" t="s">
        <v>294</v>
      </c>
      <c r="AP7">
        <v>5</v>
      </c>
    </row>
    <row r="8" spans="1:42" x14ac:dyDescent="0.25">
      <c r="A8" s="5">
        <v>41557</v>
      </c>
      <c r="B8" s="7" t="s">
        <v>277</v>
      </c>
      <c r="C8" s="7">
        <v>7</v>
      </c>
      <c r="D8" s="7" t="s">
        <v>276</v>
      </c>
      <c r="E8" s="7" t="s">
        <v>353</v>
      </c>
      <c r="F8" s="7"/>
      <c r="G8" s="7" t="s">
        <v>254</v>
      </c>
      <c r="H8" s="7">
        <v>1</v>
      </c>
      <c r="I8" s="7">
        <v>0</v>
      </c>
      <c r="J8" s="7" t="s">
        <v>238</v>
      </c>
      <c r="K8" s="7">
        <v>0</v>
      </c>
      <c r="L8" s="7">
        <v>2</v>
      </c>
      <c r="M8" s="7" t="s">
        <v>254</v>
      </c>
      <c r="N8" s="7">
        <v>2</v>
      </c>
      <c r="O8" s="7">
        <v>0</v>
      </c>
      <c r="P8" s="7"/>
      <c r="Q8" s="7"/>
      <c r="R8" s="7"/>
      <c r="S8" s="7">
        <v>2</v>
      </c>
      <c r="T8" s="7">
        <v>1</v>
      </c>
      <c r="U8" s="7">
        <v>2</v>
      </c>
      <c r="V8" s="7">
        <v>-1</v>
      </c>
      <c r="W8" s="7">
        <v>-2</v>
      </c>
      <c r="X8" s="8">
        <f t="shared" si="0"/>
        <v>-6</v>
      </c>
      <c r="Y8" s="8">
        <f>Z8+W8+AA8</f>
        <v>-2</v>
      </c>
      <c r="Z8" s="9">
        <v>0</v>
      </c>
      <c r="AA8" s="4"/>
      <c r="AB8" t="s">
        <v>301</v>
      </c>
      <c r="AO8" s="19" t="s">
        <v>295</v>
      </c>
      <c r="AP8">
        <v>10</v>
      </c>
    </row>
    <row r="9" spans="1:42" x14ac:dyDescent="0.25">
      <c r="A9" s="5">
        <v>41558</v>
      </c>
      <c r="B9" s="7" t="s">
        <v>277</v>
      </c>
      <c r="C9" s="7">
        <v>8</v>
      </c>
      <c r="D9" s="7" t="s">
        <v>276</v>
      </c>
      <c r="E9" s="7" t="s">
        <v>311</v>
      </c>
      <c r="F9" s="7" t="s">
        <v>354</v>
      </c>
      <c r="G9" s="7" t="s">
        <v>254</v>
      </c>
      <c r="H9" s="7">
        <v>2</v>
      </c>
      <c r="I9" s="7">
        <v>0</v>
      </c>
      <c r="J9" s="7" t="s">
        <v>238</v>
      </c>
      <c r="K9" s="7">
        <v>0</v>
      </c>
      <c r="L9" s="7">
        <v>2</v>
      </c>
      <c r="M9" s="7" t="s">
        <v>254</v>
      </c>
      <c r="N9" s="7">
        <v>2</v>
      </c>
      <c r="O9" s="7">
        <v>0</v>
      </c>
      <c r="P9" s="7"/>
      <c r="Q9" s="7"/>
      <c r="R9" s="7"/>
      <c r="S9" s="7">
        <v>2</v>
      </c>
      <c r="T9" s="7">
        <v>1</v>
      </c>
      <c r="U9" s="7">
        <v>2</v>
      </c>
      <c r="V9" s="7">
        <v>-1</v>
      </c>
      <c r="W9" s="7">
        <v>-2</v>
      </c>
      <c r="X9" s="8">
        <f t="shared" si="0"/>
        <v>-6</v>
      </c>
      <c r="Y9" s="8">
        <f>Z9+W9+AA9</f>
        <v>30</v>
      </c>
      <c r="Z9" s="9">
        <v>0</v>
      </c>
      <c r="AA9" s="4">
        <v>32</v>
      </c>
      <c r="AB9" t="s">
        <v>303</v>
      </c>
      <c r="AO9" t="s">
        <v>297</v>
      </c>
      <c r="AP9">
        <v>1</v>
      </c>
    </row>
    <row r="10" spans="1:42" x14ac:dyDescent="0.25">
      <c r="A10" s="5">
        <v>41559</v>
      </c>
      <c r="B10" s="7" t="s">
        <v>277</v>
      </c>
      <c r="C10" s="7">
        <v>9</v>
      </c>
      <c r="D10" s="7" t="s">
        <v>276</v>
      </c>
      <c r="E10" s="7" t="s">
        <v>325</v>
      </c>
      <c r="F10" s="7"/>
      <c r="G10" s="7" t="s">
        <v>238</v>
      </c>
      <c r="H10" s="7">
        <v>0</v>
      </c>
      <c r="I10" s="7">
        <v>2</v>
      </c>
      <c r="J10" s="7" t="s">
        <v>254</v>
      </c>
      <c r="K10" s="7">
        <v>2</v>
      </c>
      <c r="L10" s="7">
        <v>0</v>
      </c>
      <c r="M10" s="7" t="s">
        <v>254</v>
      </c>
      <c r="N10" s="7">
        <v>2</v>
      </c>
      <c r="O10" s="7">
        <v>0</v>
      </c>
      <c r="P10" s="7"/>
      <c r="Q10" s="7"/>
      <c r="R10" s="7"/>
      <c r="S10" s="7">
        <v>2</v>
      </c>
      <c r="T10" s="7">
        <v>1</v>
      </c>
      <c r="U10" s="7">
        <v>2</v>
      </c>
      <c r="V10" s="7">
        <v>-1</v>
      </c>
      <c r="W10" s="7">
        <v>-2</v>
      </c>
      <c r="X10" s="8">
        <f t="shared" si="0"/>
        <v>-6</v>
      </c>
      <c r="Y10" s="8">
        <f>Z10+W10+AA10</f>
        <v>16</v>
      </c>
      <c r="Z10" s="9">
        <v>0</v>
      </c>
      <c r="AA10" s="4">
        <v>18</v>
      </c>
      <c r="AB10" t="s">
        <v>304</v>
      </c>
      <c r="AO10" s="19" t="s">
        <v>296</v>
      </c>
      <c r="AP10">
        <v>3</v>
      </c>
    </row>
    <row r="11" spans="1:42" x14ac:dyDescent="0.25">
      <c r="A11" s="5">
        <v>41560</v>
      </c>
      <c r="B11" s="7" t="s">
        <v>277</v>
      </c>
      <c r="C11" s="7">
        <v>10</v>
      </c>
      <c r="D11" s="7" t="s">
        <v>276</v>
      </c>
      <c r="E11" s="7" t="s">
        <v>355</v>
      </c>
      <c r="F11" s="7"/>
      <c r="G11" s="7" t="s">
        <v>238</v>
      </c>
      <c r="H11" s="7">
        <v>1</v>
      </c>
      <c r="I11" s="7">
        <v>2</v>
      </c>
      <c r="J11" s="7" t="s">
        <v>254</v>
      </c>
      <c r="K11" s="7">
        <v>2</v>
      </c>
      <c r="L11" s="7">
        <v>0</v>
      </c>
      <c r="M11" s="7" t="s">
        <v>238</v>
      </c>
      <c r="N11" s="7">
        <v>1</v>
      </c>
      <c r="O11" s="7">
        <v>2</v>
      </c>
      <c r="P11" s="7"/>
      <c r="Q11" s="7"/>
      <c r="R11" s="7"/>
      <c r="S11" s="7">
        <v>1</v>
      </c>
      <c r="T11" s="7">
        <v>2</v>
      </c>
      <c r="U11" s="7">
        <v>1</v>
      </c>
      <c r="V11" s="7">
        <v>-2</v>
      </c>
      <c r="W11" s="7">
        <v>-2</v>
      </c>
      <c r="X11" s="8">
        <f t="shared" si="0"/>
        <v>-10</v>
      </c>
      <c r="Y11" s="8">
        <f>Z11+W11+AA11</f>
        <v>0</v>
      </c>
      <c r="Z11" s="9">
        <v>0</v>
      </c>
      <c r="AA11" s="4">
        <v>2</v>
      </c>
      <c r="AB11" t="s">
        <v>305</v>
      </c>
      <c r="AO11" t="s">
        <v>308</v>
      </c>
      <c r="AP11">
        <v>1</v>
      </c>
    </row>
    <row r="12" spans="1:42" x14ac:dyDescent="0.25">
      <c r="A12" s="5">
        <v>41561</v>
      </c>
      <c r="B12" s="7" t="s">
        <v>277</v>
      </c>
      <c r="C12" s="7">
        <v>11</v>
      </c>
      <c r="D12" s="7" t="s">
        <v>276</v>
      </c>
      <c r="E12" s="7" t="s">
        <v>325</v>
      </c>
      <c r="F12" s="7"/>
      <c r="G12" s="7" t="s">
        <v>238</v>
      </c>
      <c r="H12" s="7">
        <v>0</v>
      </c>
      <c r="I12" s="7">
        <v>2</v>
      </c>
      <c r="J12" s="7" t="s">
        <v>254</v>
      </c>
      <c r="K12" s="7">
        <v>2</v>
      </c>
      <c r="L12" s="7">
        <v>1</v>
      </c>
      <c r="M12" s="7" t="s">
        <v>238</v>
      </c>
      <c r="N12" s="7">
        <v>0</v>
      </c>
      <c r="O12" s="7">
        <v>2</v>
      </c>
      <c r="P12" s="7"/>
      <c r="Q12" s="7"/>
      <c r="R12" s="7"/>
      <c r="S12" s="7">
        <v>1</v>
      </c>
      <c r="T12" s="7">
        <v>2</v>
      </c>
      <c r="U12" s="7">
        <v>1</v>
      </c>
      <c r="V12" s="7">
        <v>-2</v>
      </c>
      <c r="W12" s="7">
        <v>-2</v>
      </c>
      <c r="X12" s="8">
        <f t="shared" si="0"/>
        <v>-10</v>
      </c>
      <c r="Y12" s="8">
        <f>Z12+W12+AA12</f>
        <v>-9</v>
      </c>
      <c r="Z12" s="9">
        <v>-7</v>
      </c>
      <c r="AB12" t="s">
        <v>307</v>
      </c>
      <c r="AP12">
        <f>SUM(AP1:AP11)</f>
        <v>41</v>
      </c>
    </row>
    <row r="13" spans="1:42" x14ac:dyDescent="0.25">
      <c r="A13" s="5">
        <v>41562</v>
      </c>
      <c r="B13" s="7" t="s">
        <v>277</v>
      </c>
      <c r="C13" s="7">
        <v>12</v>
      </c>
      <c r="D13" s="7" t="s">
        <v>276</v>
      </c>
      <c r="E13" s="7" t="s">
        <v>278</v>
      </c>
      <c r="F13" s="7" t="s">
        <v>236</v>
      </c>
      <c r="G13" s="7" t="s">
        <v>254</v>
      </c>
      <c r="H13" s="7">
        <v>2</v>
      </c>
      <c r="I13" s="7">
        <v>0</v>
      </c>
      <c r="J13" s="7" t="s">
        <v>254</v>
      </c>
      <c r="K13" s="7">
        <v>2</v>
      </c>
      <c r="L13" s="7">
        <v>1</v>
      </c>
      <c r="M13" s="7" t="s">
        <v>254</v>
      </c>
      <c r="N13" s="7">
        <v>2</v>
      </c>
      <c r="O13" s="7">
        <v>1</v>
      </c>
      <c r="P13" s="7"/>
      <c r="Q13" s="7"/>
      <c r="R13" s="7"/>
      <c r="S13" s="7">
        <v>3</v>
      </c>
      <c r="T13" s="7">
        <v>0</v>
      </c>
      <c r="U13" s="7">
        <v>3</v>
      </c>
      <c r="V13" s="7">
        <v>-2</v>
      </c>
      <c r="W13" s="7">
        <v>-2</v>
      </c>
      <c r="X13" s="8">
        <f t="shared" si="0"/>
        <v>-2</v>
      </c>
      <c r="Y13" s="8">
        <f>Z13+W13+AA13</f>
        <v>-2</v>
      </c>
      <c r="Z13" s="9">
        <v>0</v>
      </c>
      <c r="AA13" s="11"/>
      <c r="AB13" t="s">
        <v>306</v>
      </c>
    </row>
    <row r="14" spans="1:42" x14ac:dyDescent="0.25">
      <c r="A14" s="5">
        <v>41562</v>
      </c>
      <c r="B14" s="7" t="s">
        <v>277</v>
      </c>
      <c r="C14" s="7">
        <v>1</v>
      </c>
      <c r="D14" s="7" t="s">
        <v>309</v>
      </c>
      <c r="E14" s="7" t="s">
        <v>356</v>
      </c>
      <c r="F14" s="7" t="s">
        <v>235</v>
      </c>
      <c r="G14" s="7" t="s">
        <v>238</v>
      </c>
      <c r="H14" s="7">
        <v>0</v>
      </c>
      <c r="I14" s="7">
        <v>2</v>
      </c>
      <c r="J14" s="7" t="s">
        <v>254</v>
      </c>
      <c r="K14" s="7">
        <v>2</v>
      </c>
      <c r="L14" s="7">
        <v>0</v>
      </c>
      <c r="M14" s="7" t="s">
        <v>238</v>
      </c>
      <c r="N14" s="7">
        <v>1</v>
      </c>
      <c r="O14" s="7">
        <v>2</v>
      </c>
      <c r="P14" s="7" t="s">
        <v>254</v>
      </c>
      <c r="Q14" s="7">
        <v>2</v>
      </c>
      <c r="R14" s="7">
        <v>0</v>
      </c>
      <c r="S14" s="7">
        <v>2</v>
      </c>
      <c r="T14" s="7">
        <v>2</v>
      </c>
      <c r="U14" s="7">
        <v>2</v>
      </c>
      <c r="V14" s="7">
        <v>-4</v>
      </c>
      <c r="W14" s="7">
        <v>-2</v>
      </c>
      <c r="X14" s="8">
        <f t="shared" si="0"/>
        <v>-6</v>
      </c>
      <c r="Y14" s="8">
        <f>Z14+W14+AA14</f>
        <v>-22</v>
      </c>
      <c r="Z14" s="9">
        <v>-28</v>
      </c>
      <c r="AA14" s="10">
        <v>8</v>
      </c>
      <c r="AB14" t="s">
        <v>320</v>
      </c>
    </row>
    <row r="15" spans="1:42" x14ac:dyDescent="0.25">
      <c r="A15" s="5">
        <v>41562</v>
      </c>
      <c r="B15" s="7" t="s">
        <v>277</v>
      </c>
      <c r="C15" s="7">
        <v>13</v>
      </c>
      <c r="D15" s="7" t="s">
        <v>276</v>
      </c>
      <c r="E15" s="7" t="s">
        <v>311</v>
      </c>
      <c r="F15" s="7"/>
      <c r="G15" s="7" t="s">
        <v>254</v>
      </c>
      <c r="H15" s="7">
        <v>2</v>
      </c>
      <c r="I15" s="7">
        <v>0</v>
      </c>
      <c r="J15" s="7" t="s">
        <v>254</v>
      </c>
      <c r="K15" s="7">
        <v>2</v>
      </c>
      <c r="L15" s="7">
        <v>0</v>
      </c>
      <c r="M15" s="7" t="s">
        <v>254</v>
      </c>
      <c r="N15" s="7">
        <v>2</v>
      </c>
      <c r="O15" s="7">
        <v>0</v>
      </c>
      <c r="P15" s="7"/>
      <c r="Q15" s="7"/>
      <c r="R15" s="7"/>
      <c r="S15" s="7">
        <v>3</v>
      </c>
      <c r="T15" s="7">
        <v>0</v>
      </c>
      <c r="U15" s="7">
        <v>3</v>
      </c>
      <c r="V15" s="7">
        <v>0</v>
      </c>
      <c r="W15" s="7">
        <v>-2</v>
      </c>
      <c r="X15" s="8">
        <f t="shared" si="0"/>
        <v>-2</v>
      </c>
      <c r="Y15" s="8">
        <f>Z15+W15+AA15</f>
        <v>-2</v>
      </c>
      <c r="Z15" s="9">
        <v>0</v>
      </c>
      <c r="AB15" t="s">
        <v>312</v>
      </c>
    </row>
    <row r="16" spans="1:42" x14ac:dyDescent="0.25">
      <c r="A16" s="5">
        <v>41563</v>
      </c>
      <c r="B16" s="7" t="s">
        <v>277</v>
      </c>
      <c r="C16" s="7">
        <v>14</v>
      </c>
      <c r="D16" s="7" t="s">
        <v>276</v>
      </c>
      <c r="E16" s="7" t="s">
        <v>311</v>
      </c>
      <c r="F16" s="7"/>
      <c r="G16" s="7" t="s">
        <v>254</v>
      </c>
      <c r="H16" s="7">
        <v>2</v>
      </c>
      <c r="I16" s="7">
        <v>1</v>
      </c>
      <c r="J16" s="7" t="s">
        <v>238</v>
      </c>
      <c r="K16" s="7">
        <v>0</v>
      </c>
      <c r="L16" s="7">
        <v>2</v>
      </c>
      <c r="M16" s="7" t="s">
        <v>254</v>
      </c>
      <c r="N16" s="7">
        <v>2</v>
      </c>
      <c r="O16" s="7">
        <v>1</v>
      </c>
      <c r="P16" s="7"/>
      <c r="Q16" s="7"/>
      <c r="R16" s="7"/>
      <c r="S16" s="7">
        <v>2</v>
      </c>
      <c r="T16" s="7">
        <v>1</v>
      </c>
      <c r="U16" s="7">
        <v>2</v>
      </c>
      <c r="V16" s="7">
        <v>-1</v>
      </c>
      <c r="W16" s="7">
        <v>-2</v>
      </c>
      <c r="X16" s="8">
        <f t="shared" si="0"/>
        <v>-6</v>
      </c>
      <c r="Y16" s="8">
        <f>Z16+W16+AA16</f>
        <v>-2</v>
      </c>
      <c r="Z16" s="9">
        <v>0</v>
      </c>
      <c r="AB16" t="s">
        <v>313</v>
      </c>
    </row>
    <row r="17" spans="1:37" x14ac:dyDescent="0.25">
      <c r="A17" s="5">
        <v>41563</v>
      </c>
      <c r="B17" s="7" t="s">
        <v>277</v>
      </c>
      <c r="C17" s="7">
        <v>15</v>
      </c>
      <c r="D17" s="7" t="s">
        <v>276</v>
      </c>
      <c r="E17" s="7" t="s">
        <v>311</v>
      </c>
      <c r="F17" s="7"/>
      <c r="G17" s="7" t="s">
        <v>254</v>
      </c>
      <c r="H17" s="7">
        <v>2</v>
      </c>
      <c r="I17" s="7">
        <v>0</v>
      </c>
      <c r="J17" s="7" t="s">
        <v>254</v>
      </c>
      <c r="K17" s="7">
        <v>2</v>
      </c>
      <c r="L17" s="7">
        <v>0</v>
      </c>
      <c r="M17" s="7" t="s">
        <v>254</v>
      </c>
      <c r="N17" s="7">
        <v>2</v>
      </c>
      <c r="O17" s="7">
        <v>0</v>
      </c>
      <c r="P17" s="7"/>
      <c r="Q17" s="7"/>
      <c r="R17" s="7"/>
      <c r="S17" s="7">
        <v>3</v>
      </c>
      <c r="T17" s="7">
        <v>0</v>
      </c>
      <c r="U17" s="7">
        <v>3</v>
      </c>
      <c r="V17" s="7">
        <v>0</v>
      </c>
      <c r="W17" s="7">
        <v>-2</v>
      </c>
      <c r="X17" s="8">
        <f t="shared" si="0"/>
        <v>-2</v>
      </c>
      <c r="Y17" s="8">
        <f>Z17+W17+AA17</f>
        <v>-2</v>
      </c>
      <c r="Z17" s="9">
        <v>0</v>
      </c>
      <c r="AB17" t="s">
        <v>65</v>
      </c>
    </row>
    <row r="18" spans="1:37" x14ac:dyDescent="0.25">
      <c r="A18" s="5">
        <v>41564</v>
      </c>
      <c r="B18" s="7" t="s">
        <v>314</v>
      </c>
      <c r="C18" s="7">
        <v>2</v>
      </c>
      <c r="D18" s="7" t="s">
        <v>309</v>
      </c>
      <c r="E18" s="7" t="s">
        <v>352</v>
      </c>
      <c r="F18" s="7"/>
      <c r="G18" s="7" t="s">
        <v>254</v>
      </c>
      <c r="H18" s="7">
        <v>2</v>
      </c>
      <c r="I18" s="7">
        <v>0</v>
      </c>
      <c r="J18" s="7" t="s">
        <v>254</v>
      </c>
      <c r="K18" s="7">
        <v>2</v>
      </c>
      <c r="L18" s="7">
        <v>1</v>
      </c>
      <c r="M18" s="7" t="s">
        <v>254</v>
      </c>
      <c r="N18" s="7">
        <v>2</v>
      </c>
      <c r="O18" s="7">
        <v>1</v>
      </c>
      <c r="P18" s="7" t="s">
        <v>238</v>
      </c>
      <c r="Q18" s="7">
        <v>1</v>
      </c>
      <c r="R18" s="7">
        <v>2</v>
      </c>
      <c r="S18" s="7">
        <v>3</v>
      </c>
      <c r="T18" s="7">
        <v>1</v>
      </c>
      <c r="U18" s="7">
        <v>4</v>
      </c>
      <c r="V18" s="7">
        <v>1</v>
      </c>
      <c r="W18" s="7">
        <v>-2</v>
      </c>
      <c r="X18" s="8">
        <f t="shared" si="0"/>
        <v>2</v>
      </c>
      <c r="Y18" s="8">
        <f>Z18+W18+AA18</f>
        <v>-12</v>
      </c>
      <c r="Z18" s="9">
        <v>-18</v>
      </c>
      <c r="AA18" s="10">
        <v>8</v>
      </c>
      <c r="AB18" t="s">
        <v>316</v>
      </c>
    </row>
    <row r="19" spans="1:37" x14ac:dyDescent="0.25">
      <c r="A19" s="5">
        <v>41564</v>
      </c>
      <c r="B19" s="7" t="s">
        <v>277</v>
      </c>
      <c r="C19" s="7">
        <v>16</v>
      </c>
      <c r="D19" s="7" t="s">
        <v>276</v>
      </c>
      <c r="E19" s="7" t="s">
        <v>278</v>
      </c>
      <c r="F19" s="7"/>
      <c r="G19" s="7" t="s">
        <v>254</v>
      </c>
      <c r="H19" s="7">
        <v>2</v>
      </c>
      <c r="I19" s="7">
        <v>0</v>
      </c>
      <c r="J19" s="7" t="s">
        <v>254</v>
      </c>
      <c r="K19" s="7">
        <v>2</v>
      </c>
      <c r="L19" s="7">
        <v>1</v>
      </c>
      <c r="M19" s="7" t="s">
        <v>238</v>
      </c>
      <c r="N19" s="7">
        <v>1</v>
      </c>
      <c r="O19" s="7">
        <v>2</v>
      </c>
      <c r="P19" s="7"/>
      <c r="Q19" s="7"/>
      <c r="R19" s="7"/>
      <c r="S19" s="7">
        <v>2</v>
      </c>
      <c r="T19" s="7">
        <v>1</v>
      </c>
      <c r="U19" s="7">
        <v>2</v>
      </c>
      <c r="V19" s="7">
        <v>-1</v>
      </c>
      <c r="W19" s="7">
        <v>-2</v>
      </c>
      <c r="X19" s="8">
        <f t="shared" si="0"/>
        <v>-6</v>
      </c>
      <c r="Y19" s="8">
        <f>Z19+W19+AA19</f>
        <v>-2</v>
      </c>
      <c r="Z19" s="9">
        <v>0</v>
      </c>
    </row>
    <row r="20" spans="1:37" x14ac:dyDescent="0.25">
      <c r="A20" s="5">
        <v>41565</v>
      </c>
      <c r="B20" s="7" t="s">
        <v>277</v>
      </c>
      <c r="C20" s="7">
        <v>3</v>
      </c>
      <c r="D20" s="7" t="s">
        <v>309</v>
      </c>
      <c r="E20" s="7" t="s">
        <v>317</v>
      </c>
      <c r="F20" s="7"/>
      <c r="G20" s="7" t="s">
        <v>238</v>
      </c>
      <c r="H20" s="7">
        <v>0</v>
      </c>
      <c r="I20" s="7">
        <v>2</v>
      </c>
      <c r="J20" s="7" t="s">
        <v>254</v>
      </c>
      <c r="K20" s="7">
        <v>1</v>
      </c>
      <c r="L20" s="7">
        <v>0</v>
      </c>
      <c r="M20" s="7" t="s">
        <v>254</v>
      </c>
      <c r="N20" s="7">
        <v>2</v>
      </c>
      <c r="O20" s="7">
        <v>1</v>
      </c>
      <c r="P20" s="7" t="s">
        <v>254</v>
      </c>
      <c r="Q20" s="7">
        <v>2</v>
      </c>
      <c r="R20" s="7">
        <v>1</v>
      </c>
      <c r="S20" s="7">
        <v>3</v>
      </c>
      <c r="T20" s="7">
        <v>1</v>
      </c>
      <c r="U20" s="7">
        <v>4</v>
      </c>
      <c r="V20" s="7">
        <v>1</v>
      </c>
      <c r="W20" s="7">
        <v>-2</v>
      </c>
      <c r="X20" s="8">
        <f t="shared" si="0"/>
        <v>2</v>
      </c>
      <c r="Y20" s="8">
        <f>Z20+W20+AA20</f>
        <v>-5</v>
      </c>
      <c r="Z20" s="9">
        <v>-18</v>
      </c>
      <c r="AA20" s="10">
        <v>15</v>
      </c>
      <c r="AB20" t="s">
        <v>319</v>
      </c>
    </row>
    <row r="21" spans="1:37" x14ac:dyDescent="0.25">
      <c r="A21" s="5">
        <v>41565</v>
      </c>
      <c r="B21" s="7" t="s">
        <v>277</v>
      </c>
      <c r="C21" s="7">
        <v>17</v>
      </c>
      <c r="D21" s="7" t="s">
        <v>276</v>
      </c>
      <c r="E21" s="7" t="s">
        <v>281</v>
      </c>
      <c r="F21" s="7"/>
      <c r="G21" s="7" t="s">
        <v>238</v>
      </c>
      <c r="H21" s="7">
        <v>1</v>
      </c>
      <c r="I21" s="7">
        <v>2</v>
      </c>
      <c r="J21" s="7" t="s">
        <v>254</v>
      </c>
      <c r="K21" s="7">
        <v>2</v>
      </c>
      <c r="L21" s="7">
        <v>0</v>
      </c>
      <c r="M21" s="7" t="s">
        <v>254</v>
      </c>
      <c r="N21" s="7">
        <v>2</v>
      </c>
      <c r="O21" s="7">
        <v>1</v>
      </c>
      <c r="P21" s="7"/>
      <c r="Q21" s="7"/>
      <c r="R21" s="7"/>
      <c r="S21" s="7">
        <v>2</v>
      </c>
      <c r="T21" s="7">
        <v>1</v>
      </c>
      <c r="U21" s="7">
        <v>2</v>
      </c>
      <c r="V21" s="7">
        <v>-1</v>
      </c>
      <c r="W21" s="7">
        <v>-2</v>
      </c>
      <c r="X21" s="8">
        <f t="shared" si="0"/>
        <v>-6</v>
      </c>
      <c r="Y21" s="8">
        <f>Z21+W21+AA21</f>
        <v>3</v>
      </c>
      <c r="Z21" s="9">
        <v>0</v>
      </c>
      <c r="AA21" s="10">
        <v>5</v>
      </c>
      <c r="AB21" t="s">
        <v>321</v>
      </c>
    </row>
    <row r="22" spans="1:37" x14ac:dyDescent="0.25">
      <c r="A22" s="5">
        <v>41567</v>
      </c>
      <c r="B22" s="7" t="s">
        <v>277</v>
      </c>
      <c r="C22" s="7">
        <v>18</v>
      </c>
      <c r="D22" s="7" t="s">
        <v>276</v>
      </c>
      <c r="E22" s="7" t="s">
        <v>311</v>
      </c>
      <c r="F22" s="7"/>
      <c r="G22" s="7" t="s">
        <v>254</v>
      </c>
      <c r="H22" s="7">
        <v>2</v>
      </c>
      <c r="I22" s="7">
        <v>1</v>
      </c>
      <c r="J22" s="7" t="s">
        <v>238</v>
      </c>
      <c r="K22" s="7">
        <v>1</v>
      </c>
      <c r="L22" s="7">
        <v>2</v>
      </c>
      <c r="M22" s="7" t="s">
        <v>254</v>
      </c>
      <c r="N22" s="7">
        <v>2</v>
      </c>
      <c r="O22" s="7">
        <v>0</v>
      </c>
      <c r="P22" s="7"/>
      <c r="Q22" s="7"/>
      <c r="R22" s="7"/>
      <c r="S22" s="7">
        <v>2</v>
      </c>
      <c r="T22" s="7">
        <v>1</v>
      </c>
      <c r="U22" s="7">
        <v>2</v>
      </c>
      <c r="V22" s="7">
        <v>-2</v>
      </c>
      <c r="W22" s="7">
        <v>-2</v>
      </c>
      <c r="X22" s="8">
        <f t="shared" si="0"/>
        <v>-6</v>
      </c>
      <c r="Y22" s="8">
        <f>Z22+W22+AA22</f>
        <v>-2</v>
      </c>
      <c r="Z22" s="9">
        <v>0</v>
      </c>
      <c r="AA22" s="11"/>
      <c r="AB22" t="s">
        <v>318</v>
      </c>
    </row>
    <row r="23" spans="1:37" x14ac:dyDescent="0.25">
      <c r="A23" s="5">
        <v>41567</v>
      </c>
      <c r="B23" s="7" t="s">
        <v>277</v>
      </c>
      <c r="C23" s="7">
        <v>19</v>
      </c>
      <c r="D23" s="7" t="s">
        <v>276</v>
      </c>
      <c r="E23" s="7" t="s">
        <v>278</v>
      </c>
      <c r="F23" s="7"/>
      <c r="G23" s="7" t="s">
        <v>238</v>
      </c>
      <c r="H23" s="7">
        <v>1</v>
      </c>
      <c r="I23" s="7">
        <v>2</v>
      </c>
      <c r="J23" s="7" t="s">
        <v>254</v>
      </c>
      <c r="K23" s="7">
        <v>2</v>
      </c>
      <c r="L23" s="7">
        <v>0</v>
      </c>
      <c r="M23" s="7" t="s">
        <v>254</v>
      </c>
      <c r="N23" s="7">
        <v>2</v>
      </c>
      <c r="O23" s="7">
        <v>0</v>
      </c>
      <c r="P23" s="7"/>
      <c r="Q23" s="7"/>
      <c r="R23" s="7"/>
      <c r="S23" s="7">
        <v>2</v>
      </c>
      <c r="T23" s="7">
        <v>1</v>
      </c>
      <c r="U23" s="7">
        <v>2</v>
      </c>
      <c r="V23" s="7">
        <v>1</v>
      </c>
      <c r="W23" s="7">
        <v>-2</v>
      </c>
      <c r="X23" s="8">
        <f t="shared" si="0"/>
        <v>-6</v>
      </c>
      <c r="Y23" s="8">
        <f>Z23+W23+AA23</f>
        <v>-2</v>
      </c>
      <c r="Z23" s="9">
        <v>0</v>
      </c>
      <c r="AA23" s="10"/>
    </row>
    <row r="24" spans="1:37" x14ac:dyDescent="0.25">
      <c r="A24" s="5">
        <v>41567</v>
      </c>
      <c r="B24" s="7" t="s">
        <v>277</v>
      </c>
      <c r="C24" s="7">
        <v>20</v>
      </c>
      <c r="D24" s="7" t="s">
        <v>276</v>
      </c>
      <c r="E24" s="7" t="s">
        <v>278</v>
      </c>
      <c r="F24" s="7"/>
      <c r="G24" s="7" t="s">
        <v>238</v>
      </c>
      <c r="H24" s="7">
        <v>0</v>
      </c>
      <c r="I24" s="7">
        <v>2</v>
      </c>
      <c r="J24" s="7" t="s">
        <v>238</v>
      </c>
      <c r="K24" s="7">
        <v>0</v>
      </c>
      <c r="L24" s="7">
        <v>2</v>
      </c>
      <c r="M24" s="7" t="s">
        <v>238</v>
      </c>
      <c r="N24" s="7">
        <v>1</v>
      </c>
      <c r="O24" s="7">
        <v>2</v>
      </c>
      <c r="P24" s="7"/>
      <c r="Q24" s="7"/>
      <c r="R24" s="7"/>
      <c r="S24" s="7">
        <v>0</v>
      </c>
      <c r="T24" s="7">
        <v>3</v>
      </c>
      <c r="U24" s="7">
        <v>0</v>
      </c>
      <c r="V24" s="7">
        <v>-3</v>
      </c>
      <c r="W24" s="7">
        <v>-2</v>
      </c>
      <c r="X24" s="8">
        <f t="shared" si="0"/>
        <v>-14</v>
      </c>
      <c r="Y24" s="8">
        <f>Z24+W24+AA24</f>
        <v>3</v>
      </c>
      <c r="Z24" s="9">
        <v>0</v>
      </c>
      <c r="AA24" s="10">
        <v>5</v>
      </c>
      <c r="AB24" t="s">
        <v>322</v>
      </c>
    </row>
    <row r="25" spans="1:37" x14ac:dyDescent="0.25">
      <c r="A25" s="5">
        <v>41568</v>
      </c>
      <c r="B25" s="7" t="s">
        <v>277</v>
      </c>
      <c r="C25" s="7">
        <v>21</v>
      </c>
      <c r="D25" s="7" t="s">
        <v>276</v>
      </c>
      <c r="E25" s="7" t="s">
        <v>352</v>
      </c>
      <c r="F25" s="7"/>
      <c r="G25" s="7" t="s">
        <v>238</v>
      </c>
      <c r="H25" s="7">
        <v>1</v>
      </c>
      <c r="I25" s="7">
        <v>2</v>
      </c>
      <c r="J25" s="7" t="s">
        <v>254</v>
      </c>
      <c r="K25" s="7">
        <v>2</v>
      </c>
      <c r="L25" s="7">
        <v>0</v>
      </c>
      <c r="M25" s="7" t="s">
        <v>254</v>
      </c>
      <c r="N25" s="7">
        <v>2</v>
      </c>
      <c r="O25" s="7">
        <v>0</v>
      </c>
      <c r="P25" s="7"/>
      <c r="Q25" s="7"/>
      <c r="R25" s="7"/>
      <c r="S25" s="7">
        <v>2</v>
      </c>
      <c r="T25" s="7">
        <v>1</v>
      </c>
      <c r="U25" s="7">
        <v>2</v>
      </c>
      <c r="V25" s="7">
        <v>-2</v>
      </c>
      <c r="W25" s="7">
        <v>-2</v>
      </c>
      <c r="X25" s="8">
        <f t="shared" si="0"/>
        <v>-6</v>
      </c>
      <c r="Y25" s="8">
        <f>Z25+W25+AA25</f>
        <v>-2</v>
      </c>
      <c r="Z25" s="9">
        <v>0</v>
      </c>
      <c r="AB25" t="s">
        <v>98</v>
      </c>
    </row>
    <row r="26" spans="1:37" x14ac:dyDescent="0.25">
      <c r="A26" s="5">
        <v>41569</v>
      </c>
      <c r="B26" s="7" t="s">
        <v>277</v>
      </c>
      <c r="C26" s="7">
        <v>22</v>
      </c>
      <c r="D26" s="7" t="s">
        <v>276</v>
      </c>
      <c r="E26" s="7" t="s">
        <v>345</v>
      </c>
      <c r="F26" s="7"/>
      <c r="G26" s="7" t="s">
        <v>254</v>
      </c>
      <c r="H26" s="7">
        <v>2</v>
      </c>
      <c r="I26" s="7">
        <v>1</v>
      </c>
      <c r="J26" s="7" t="s">
        <v>238</v>
      </c>
      <c r="K26" s="7">
        <v>0</v>
      </c>
      <c r="L26" s="7">
        <v>2</v>
      </c>
      <c r="M26" s="7" t="s">
        <v>254</v>
      </c>
      <c r="N26" s="7">
        <v>2</v>
      </c>
      <c r="O26" s="7">
        <v>1</v>
      </c>
      <c r="P26" s="7"/>
      <c r="Q26" s="7"/>
      <c r="R26" s="7"/>
      <c r="S26" s="7">
        <v>2</v>
      </c>
      <c r="T26" s="7">
        <v>1</v>
      </c>
      <c r="U26" s="7">
        <v>2</v>
      </c>
      <c r="V26" s="7">
        <v>-1</v>
      </c>
      <c r="W26" s="7">
        <v>-2</v>
      </c>
      <c r="X26" s="8">
        <f t="shared" si="0"/>
        <v>-6</v>
      </c>
      <c r="Y26" s="8">
        <f>Z26+W26+AA26</f>
        <v>-2</v>
      </c>
      <c r="Z26" s="9">
        <v>0</v>
      </c>
      <c r="AA26" s="11"/>
      <c r="AB26" t="s">
        <v>323</v>
      </c>
    </row>
    <row r="27" spans="1:37" x14ac:dyDescent="0.25">
      <c r="A27" s="5">
        <v>41570</v>
      </c>
      <c r="B27" s="7" t="s">
        <v>277</v>
      </c>
      <c r="C27" s="7">
        <v>23</v>
      </c>
      <c r="D27" s="7" t="s">
        <v>276</v>
      </c>
      <c r="E27" s="7" t="s">
        <v>278</v>
      </c>
      <c r="F27" s="7"/>
      <c r="G27" s="7" t="s">
        <v>254</v>
      </c>
      <c r="H27" s="7">
        <v>2</v>
      </c>
      <c r="I27" s="7">
        <v>1</v>
      </c>
      <c r="J27" s="7" t="s">
        <v>238</v>
      </c>
      <c r="K27" s="7">
        <v>0</v>
      </c>
      <c r="L27" s="7">
        <v>2</v>
      </c>
      <c r="M27" s="7" t="s">
        <v>238</v>
      </c>
      <c r="N27" s="7">
        <v>1</v>
      </c>
      <c r="O27" s="7">
        <v>2</v>
      </c>
      <c r="P27" s="7"/>
      <c r="Q27" s="7"/>
      <c r="R27" s="7"/>
      <c r="S27" s="7">
        <v>1</v>
      </c>
      <c r="T27" s="7">
        <v>2</v>
      </c>
      <c r="U27" s="7">
        <v>1</v>
      </c>
      <c r="V27" s="7">
        <v>-2</v>
      </c>
      <c r="W27" s="7">
        <v>-2</v>
      </c>
      <c r="X27" s="8">
        <f t="shared" si="0"/>
        <v>-10</v>
      </c>
      <c r="Y27" s="8">
        <f>Z27+W27+AA27</f>
        <v>-2</v>
      </c>
      <c r="Z27" s="9">
        <v>0</v>
      </c>
      <c r="AA27" s="11"/>
      <c r="AB27" t="s">
        <v>324</v>
      </c>
    </row>
    <row r="28" spans="1:37" x14ac:dyDescent="0.25">
      <c r="A28" s="12">
        <v>41571</v>
      </c>
      <c r="B28" s="7" t="s">
        <v>277</v>
      </c>
      <c r="C28" s="7">
        <v>24</v>
      </c>
      <c r="D28" s="7" t="s">
        <v>276</v>
      </c>
      <c r="E28" s="7" t="s">
        <v>325</v>
      </c>
      <c r="F28" s="7"/>
      <c r="G28" s="7" t="s">
        <v>254</v>
      </c>
      <c r="H28" s="7">
        <v>2</v>
      </c>
      <c r="I28" s="7">
        <v>0</v>
      </c>
      <c r="J28" s="7" t="s">
        <v>254</v>
      </c>
      <c r="K28" s="7">
        <v>2</v>
      </c>
      <c r="L28" s="7">
        <v>0</v>
      </c>
      <c r="M28" s="7" t="s">
        <v>254</v>
      </c>
      <c r="N28" s="7">
        <v>2</v>
      </c>
      <c r="O28" s="7">
        <v>0</v>
      </c>
      <c r="P28" s="7"/>
      <c r="Q28" s="7"/>
      <c r="R28" s="7"/>
      <c r="S28" s="7">
        <v>3</v>
      </c>
      <c r="T28" s="7">
        <v>0</v>
      </c>
      <c r="U28" s="7">
        <v>3</v>
      </c>
      <c r="V28" s="7">
        <v>-2</v>
      </c>
      <c r="W28" s="7">
        <v>-2</v>
      </c>
      <c r="X28" s="8">
        <f t="shared" si="0"/>
        <v>-2</v>
      </c>
      <c r="Y28" s="8">
        <f>Z28+W28+AA28</f>
        <v>-2</v>
      </c>
      <c r="Z28" s="9">
        <v>0</v>
      </c>
      <c r="AB28" t="s">
        <v>326</v>
      </c>
      <c r="AD28">
        <v>296744372</v>
      </c>
      <c r="AE28">
        <v>296776016</v>
      </c>
      <c r="AF28">
        <v>296779324</v>
      </c>
      <c r="AG28">
        <v>296780422</v>
      </c>
      <c r="AH28">
        <v>296894032</v>
      </c>
      <c r="AJ28">
        <v>296787974</v>
      </c>
      <c r="AK28">
        <v>296790524</v>
      </c>
    </row>
    <row r="29" spans="1:37" x14ac:dyDescent="0.25">
      <c r="A29" s="12">
        <v>41572</v>
      </c>
      <c r="B29" s="7" t="s">
        <v>277</v>
      </c>
      <c r="C29" s="7">
        <v>25</v>
      </c>
      <c r="D29" s="7" t="s">
        <v>276</v>
      </c>
      <c r="E29" s="7" t="s">
        <v>317</v>
      </c>
      <c r="F29" s="7" t="s">
        <v>357</v>
      </c>
      <c r="G29" s="7" t="s">
        <v>254</v>
      </c>
      <c r="H29" s="7">
        <v>2</v>
      </c>
      <c r="I29" s="7">
        <v>1</v>
      </c>
      <c r="J29" s="7" t="s">
        <v>254</v>
      </c>
      <c r="K29" s="7">
        <v>2</v>
      </c>
      <c r="L29" s="7">
        <v>1</v>
      </c>
      <c r="M29" s="7" t="s">
        <v>238</v>
      </c>
      <c r="N29" s="7">
        <v>1</v>
      </c>
      <c r="O29" s="7">
        <v>2</v>
      </c>
      <c r="P29" s="7"/>
      <c r="Q29" s="7"/>
      <c r="R29" s="7"/>
      <c r="S29" s="7">
        <v>2</v>
      </c>
      <c r="T29" s="7">
        <v>1</v>
      </c>
      <c r="U29" s="7">
        <v>2</v>
      </c>
      <c r="V29" s="7">
        <v>-1</v>
      </c>
      <c r="W29" s="7">
        <v>-2</v>
      </c>
      <c r="X29" s="7">
        <f t="shared" si="0"/>
        <v>-6</v>
      </c>
      <c r="Y29" s="8">
        <f>Z29+W29+AA29</f>
        <v>7</v>
      </c>
      <c r="Z29" s="9">
        <v>0</v>
      </c>
      <c r="AA29" s="10">
        <v>9</v>
      </c>
      <c r="AB29" t="s">
        <v>329</v>
      </c>
      <c r="AE29" t="e">
        <f>-GW +Glare - Vanquish +Last breath</f>
        <v>#NAME?</v>
      </c>
      <c r="AF29" t="e">
        <f>-GW + Last breath</f>
        <v>#NAME?</v>
      </c>
    </row>
    <row r="30" spans="1:37" x14ac:dyDescent="0.25">
      <c r="A30" s="12">
        <v>41573</v>
      </c>
      <c r="B30" s="7" t="s">
        <v>277</v>
      </c>
      <c r="C30" s="7">
        <v>26</v>
      </c>
      <c r="D30" s="7" t="s">
        <v>276</v>
      </c>
      <c r="E30" s="7" t="s">
        <v>325</v>
      </c>
      <c r="F30" s="7"/>
      <c r="G30" s="7" t="s">
        <v>254</v>
      </c>
      <c r="H30" s="7">
        <v>2</v>
      </c>
      <c r="I30" s="7">
        <v>0</v>
      </c>
      <c r="J30" s="7" t="s">
        <v>254</v>
      </c>
      <c r="K30" s="7">
        <v>2</v>
      </c>
      <c r="L30" s="7">
        <v>0</v>
      </c>
      <c r="M30" s="7" t="s">
        <v>254</v>
      </c>
      <c r="N30" s="7">
        <v>2</v>
      </c>
      <c r="O30" s="7">
        <v>0</v>
      </c>
      <c r="P30" s="7"/>
      <c r="Q30" s="7"/>
      <c r="R30" s="7"/>
      <c r="S30" s="7">
        <v>3</v>
      </c>
      <c r="T30" s="7">
        <v>0</v>
      </c>
      <c r="U30" s="7">
        <v>3</v>
      </c>
      <c r="V30" s="7">
        <v>0</v>
      </c>
      <c r="W30" s="7">
        <v>-2</v>
      </c>
      <c r="X30" s="7">
        <f t="shared" si="0"/>
        <v>-2</v>
      </c>
      <c r="Y30" s="8">
        <f>Z30+W30+AA30</f>
        <v>9</v>
      </c>
      <c r="Z30" s="9">
        <v>0</v>
      </c>
      <c r="AA30" s="10">
        <v>11</v>
      </c>
      <c r="AB30" t="s">
        <v>330</v>
      </c>
    </row>
    <row r="31" spans="1:37" x14ac:dyDescent="0.25">
      <c r="A31" s="12">
        <v>41574</v>
      </c>
      <c r="B31" s="7" t="s">
        <v>277</v>
      </c>
      <c r="C31" s="7">
        <v>27</v>
      </c>
      <c r="D31" s="7" t="s">
        <v>276</v>
      </c>
      <c r="E31" s="7" t="s">
        <v>353</v>
      </c>
      <c r="F31" s="7"/>
      <c r="G31" s="7" t="s">
        <v>238</v>
      </c>
      <c r="H31" s="7">
        <v>0</v>
      </c>
      <c r="I31" s="7">
        <v>2</v>
      </c>
      <c r="J31" s="7" t="s">
        <v>254</v>
      </c>
      <c r="K31" s="7">
        <v>2</v>
      </c>
      <c r="L31" s="7">
        <v>0</v>
      </c>
      <c r="M31" s="7" t="s">
        <v>254</v>
      </c>
      <c r="N31" s="7">
        <v>2</v>
      </c>
      <c r="O31" s="7">
        <v>0</v>
      </c>
      <c r="P31" s="7"/>
      <c r="Q31" s="7"/>
      <c r="R31" s="7"/>
      <c r="S31" s="7">
        <v>2</v>
      </c>
      <c r="T31" s="7">
        <v>1</v>
      </c>
      <c r="U31" s="7">
        <v>2</v>
      </c>
      <c r="V31" s="7">
        <v>-1</v>
      </c>
      <c r="W31" s="7">
        <v>-2</v>
      </c>
      <c r="X31" s="7">
        <f t="shared" si="0"/>
        <v>-6</v>
      </c>
      <c r="Y31" s="8">
        <f>Z31+W31+AA31</f>
        <v>5</v>
      </c>
      <c r="Z31" s="20">
        <v>0</v>
      </c>
      <c r="AA31" s="4">
        <v>7</v>
      </c>
      <c r="AB31" t="s">
        <v>331</v>
      </c>
    </row>
    <row r="32" spans="1:37" x14ac:dyDescent="0.25">
      <c r="A32" s="12">
        <v>41575</v>
      </c>
      <c r="B32" s="7" t="s">
        <v>277</v>
      </c>
      <c r="C32" s="7">
        <v>28</v>
      </c>
      <c r="D32" s="7" t="s">
        <v>276</v>
      </c>
      <c r="E32" s="7" t="s">
        <v>278</v>
      </c>
      <c r="F32" s="7"/>
      <c r="G32" s="7" t="s">
        <v>238</v>
      </c>
      <c r="H32" s="7">
        <v>0</v>
      </c>
      <c r="I32" s="7">
        <v>2</v>
      </c>
      <c r="J32" s="7" t="s">
        <v>238</v>
      </c>
      <c r="K32" s="7">
        <v>0</v>
      </c>
      <c r="L32" s="7">
        <v>2</v>
      </c>
      <c r="M32" s="7" t="s">
        <v>254</v>
      </c>
      <c r="N32" s="7">
        <v>2</v>
      </c>
      <c r="O32" s="7">
        <v>0</v>
      </c>
      <c r="P32" s="7"/>
      <c r="Q32" s="7"/>
      <c r="R32" s="7"/>
      <c r="S32" s="7">
        <v>1</v>
      </c>
      <c r="T32" s="7">
        <v>2</v>
      </c>
      <c r="U32" s="7">
        <v>1</v>
      </c>
      <c r="V32" s="7">
        <v>-2</v>
      </c>
      <c r="W32" s="7">
        <v>-2</v>
      </c>
      <c r="X32" s="7">
        <f t="shared" si="0"/>
        <v>-10</v>
      </c>
      <c r="Y32" s="8">
        <f>Z32+W32+AA32</f>
        <v>1</v>
      </c>
      <c r="Z32" s="20">
        <v>-4</v>
      </c>
      <c r="AA32" s="4">
        <v>7</v>
      </c>
      <c r="AB32" t="s">
        <v>333</v>
      </c>
    </row>
    <row r="33" spans="1:28" x14ac:dyDescent="0.25">
      <c r="A33" s="13">
        <v>41575</v>
      </c>
      <c r="B33" s="14" t="s">
        <v>277</v>
      </c>
      <c r="C33" s="14">
        <v>29</v>
      </c>
      <c r="D33" s="14" t="s">
        <v>276</v>
      </c>
      <c r="E33" s="14" t="s">
        <v>352</v>
      </c>
      <c r="F33" s="14"/>
      <c r="G33" s="14" t="s">
        <v>254</v>
      </c>
      <c r="H33" s="14">
        <v>2</v>
      </c>
      <c r="I33" s="7">
        <v>0</v>
      </c>
      <c r="J33" s="14" t="s">
        <v>254</v>
      </c>
      <c r="K33" s="14">
        <v>2</v>
      </c>
      <c r="L33" s="14">
        <v>0</v>
      </c>
      <c r="M33" s="14" t="s">
        <v>254</v>
      </c>
      <c r="N33" s="14">
        <v>2</v>
      </c>
      <c r="O33" s="14">
        <v>0</v>
      </c>
      <c r="P33" s="14"/>
      <c r="Q33" s="14"/>
      <c r="R33" s="14"/>
      <c r="S33" s="14">
        <v>3</v>
      </c>
      <c r="T33" s="14">
        <v>0</v>
      </c>
      <c r="U33" s="14">
        <v>3</v>
      </c>
      <c r="V33" s="14">
        <v>0</v>
      </c>
      <c r="W33" s="14">
        <v>-2</v>
      </c>
      <c r="X33" s="15">
        <f t="shared" si="0"/>
        <v>-2</v>
      </c>
      <c r="Y33" s="8">
        <f>Z33+W33+AA33</f>
        <v>-9</v>
      </c>
      <c r="Z33" s="20">
        <v>-7</v>
      </c>
      <c r="AA33" s="21"/>
      <c r="AB33" t="s">
        <v>332</v>
      </c>
    </row>
    <row r="34" spans="1:28" x14ac:dyDescent="0.25">
      <c r="A34" s="12">
        <v>41576</v>
      </c>
      <c r="B34" s="7" t="s">
        <v>277</v>
      </c>
      <c r="C34" s="7">
        <v>30</v>
      </c>
      <c r="D34" s="7" t="s">
        <v>276</v>
      </c>
      <c r="E34" s="7" t="s">
        <v>325</v>
      </c>
      <c r="F34" s="7"/>
      <c r="G34" s="7" t="s">
        <v>254</v>
      </c>
      <c r="H34" s="7">
        <v>2</v>
      </c>
      <c r="I34" s="9">
        <v>0</v>
      </c>
      <c r="J34" s="7" t="s">
        <v>254</v>
      </c>
      <c r="K34" s="7">
        <v>2</v>
      </c>
      <c r="L34" s="7">
        <v>1</v>
      </c>
      <c r="M34" s="7" t="s">
        <v>254</v>
      </c>
      <c r="N34" s="7">
        <v>2</v>
      </c>
      <c r="O34" s="7">
        <v>1</v>
      </c>
      <c r="P34" s="7"/>
      <c r="Q34" s="7"/>
      <c r="R34" s="7"/>
      <c r="S34" s="7">
        <v>3</v>
      </c>
      <c r="T34" s="7">
        <v>0</v>
      </c>
      <c r="U34" s="7">
        <v>3</v>
      </c>
      <c r="V34" s="7">
        <v>0</v>
      </c>
      <c r="W34" s="7">
        <v>-2</v>
      </c>
      <c r="X34" s="7">
        <f t="shared" si="0"/>
        <v>-2</v>
      </c>
      <c r="Y34" s="8">
        <f>Z34+W34+AA34</f>
        <v>7</v>
      </c>
      <c r="Z34" s="20">
        <v>0</v>
      </c>
      <c r="AA34" s="4">
        <v>9</v>
      </c>
      <c r="AB34" t="s">
        <v>338</v>
      </c>
    </row>
    <row r="35" spans="1:28" x14ac:dyDescent="0.25">
      <c r="A35" s="12">
        <v>41576</v>
      </c>
      <c r="B35" s="7" t="s">
        <v>277</v>
      </c>
      <c r="C35" s="7">
        <v>4</v>
      </c>
      <c r="D35" s="7" t="s">
        <v>309</v>
      </c>
      <c r="E35" s="7" t="s">
        <v>278</v>
      </c>
      <c r="F35" s="7"/>
      <c r="G35" s="7" t="s">
        <v>238</v>
      </c>
      <c r="H35" s="7">
        <v>0</v>
      </c>
      <c r="I35" s="7">
        <v>2</v>
      </c>
      <c r="J35" s="7" t="s">
        <v>238</v>
      </c>
      <c r="K35" s="7">
        <v>1</v>
      </c>
      <c r="L35" s="7">
        <v>2</v>
      </c>
      <c r="M35" s="7" t="s">
        <v>254</v>
      </c>
      <c r="N35" s="7">
        <v>2</v>
      </c>
      <c r="O35" s="7">
        <v>0</v>
      </c>
      <c r="P35" s="7" t="s">
        <v>238</v>
      </c>
      <c r="Q35" s="7">
        <v>1</v>
      </c>
      <c r="R35" s="7">
        <v>2</v>
      </c>
      <c r="S35" s="7">
        <v>1</v>
      </c>
      <c r="T35" s="7">
        <v>3</v>
      </c>
      <c r="U35" s="7">
        <v>0</v>
      </c>
      <c r="V35" s="7">
        <v>-6</v>
      </c>
      <c r="W35" s="7">
        <v>-2</v>
      </c>
      <c r="X35" s="7">
        <f t="shared" si="0"/>
        <v>-14</v>
      </c>
      <c r="Y35" s="8">
        <f>Z35+W35+AA35</f>
        <v>2</v>
      </c>
      <c r="Z35" s="9">
        <v>-11</v>
      </c>
      <c r="AA35" s="4">
        <v>15</v>
      </c>
      <c r="AB35" t="s">
        <v>334</v>
      </c>
    </row>
    <row r="36" spans="1:28" x14ac:dyDescent="0.25">
      <c r="A36" s="12">
        <v>41576</v>
      </c>
      <c r="B36" s="7" t="s">
        <v>277</v>
      </c>
      <c r="C36" s="7">
        <v>31</v>
      </c>
      <c r="D36" s="7" t="s">
        <v>276</v>
      </c>
      <c r="E36" s="7" t="s">
        <v>345</v>
      </c>
      <c r="F36" s="7"/>
      <c r="G36" s="7" t="s">
        <v>238</v>
      </c>
      <c r="H36" s="7">
        <v>1</v>
      </c>
      <c r="I36" s="7">
        <v>2</v>
      </c>
      <c r="J36" s="7" t="s">
        <v>254</v>
      </c>
      <c r="K36" s="7">
        <v>2</v>
      </c>
      <c r="L36" s="7">
        <v>0</v>
      </c>
      <c r="M36" s="7" t="s">
        <v>254</v>
      </c>
      <c r="N36" s="7">
        <v>2</v>
      </c>
      <c r="O36" s="7">
        <v>1</v>
      </c>
      <c r="P36" s="7"/>
      <c r="Q36" s="7"/>
      <c r="R36" s="7"/>
      <c r="S36" s="7">
        <v>2</v>
      </c>
      <c r="T36" s="7">
        <v>1</v>
      </c>
      <c r="U36" s="7">
        <v>2</v>
      </c>
      <c r="V36" s="7">
        <v>-1</v>
      </c>
      <c r="W36" s="7">
        <v>-2</v>
      </c>
      <c r="X36" s="7">
        <f t="shared" si="0"/>
        <v>-6</v>
      </c>
      <c r="Y36" s="8">
        <f>Z36+W36+AA36</f>
        <v>-4</v>
      </c>
      <c r="Z36" s="9">
        <v>-11</v>
      </c>
      <c r="AA36" s="4">
        <v>9</v>
      </c>
      <c r="AB36" t="s">
        <v>337</v>
      </c>
    </row>
    <row r="37" spans="1:28" x14ac:dyDescent="0.25">
      <c r="A37" s="12">
        <v>41577</v>
      </c>
      <c r="B37" s="7" t="s">
        <v>277</v>
      </c>
      <c r="C37" s="7">
        <v>32</v>
      </c>
      <c r="D37" s="7" t="s">
        <v>276</v>
      </c>
      <c r="E37" s="7" t="s">
        <v>278</v>
      </c>
      <c r="F37" s="7"/>
      <c r="G37" s="7" t="s">
        <v>254</v>
      </c>
      <c r="H37" s="7">
        <v>2</v>
      </c>
      <c r="I37" s="7">
        <v>0</v>
      </c>
      <c r="J37" s="7" t="s">
        <v>238</v>
      </c>
      <c r="K37" s="7">
        <v>1</v>
      </c>
      <c r="L37" s="7">
        <v>2</v>
      </c>
      <c r="M37" s="7" t="s">
        <v>254</v>
      </c>
      <c r="N37" s="7">
        <v>2</v>
      </c>
      <c r="O37" s="7">
        <v>0</v>
      </c>
      <c r="P37" s="7"/>
      <c r="Q37" s="7"/>
      <c r="R37" s="7"/>
      <c r="S37" s="7">
        <v>2</v>
      </c>
      <c r="T37" s="7">
        <v>1</v>
      </c>
      <c r="U37" s="7">
        <v>2</v>
      </c>
      <c r="V37" s="7">
        <v>-1</v>
      </c>
      <c r="W37" s="7">
        <v>-2</v>
      </c>
      <c r="X37" s="7">
        <f t="shared" si="0"/>
        <v>-6</v>
      </c>
      <c r="Y37" s="8">
        <f>Z37+W37+AA37</f>
        <v>-6</v>
      </c>
      <c r="Z37" s="9">
        <v>-4</v>
      </c>
      <c r="AB37" t="s">
        <v>335</v>
      </c>
    </row>
    <row r="38" spans="1:28" x14ac:dyDescent="0.25">
      <c r="A38" s="12">
        <v>41577</v>
      </c>
      <c r="B38" s="7" t="s">
        <v>277</v>
      </c>
      <c r="C38" s="7">
        <v>5</v>
      </c>
      <c r="D38" s="7" t="s">
        <v>309</v>
      </c>
      <c r="E38" s="7" t="s">
        <v>325</v>
      </c>
      <c r="F38" s="7"/>
      <c r="G38" s="7" t="s">
        <v>254</v>
      </c>
      <c r="H38" s="7">
        <v>2</v>
      </c>
      <c r="I38" s="7">
        <v>1</v>
      </c>
      <c r="J38" s="7" t="s">
        <v>254</v>
      </c>
      <c r="K38" s="7">
        <v>2</v>
      </c>
      <c r="L38" s="7">
        <v>0</v>
      </c>
      <c r="M38" s="7" t="s">
        <v>254</v>
      </c>
      <c r="N38" s="7">
        <v>2</v>
      </c>
      <c r="O38" s="7">
        <v>1</v>
      </c>
      <c r="P38" s="7" t="s">
        <v>254</v>
      </c>
      <c r="Q38" s="7">
        <v>2</v>
      </c>
      <c r="R38" s="7">
        <v>0</v>
      </c>
      <c r="S38" s="7">
        <v>4</v>
      </c>
      <c r="T38" s="7">
        <v>0</v>
      </c>
      <c r="U38" s="7">
        <v>11</v>
      </c>
      <c r="V38" s="7">
        <v>5</v>
      </c>
      <c r="W38" s="7">
        <v>-2</v>
      </c>
      <c r="X38" s="7">
        <f t="shared" si="0"/>
        <v>30</v>
      </c>
      <c r="Y38" s="8">
        <f>Z38+W38+AA38</f>
        <v>-17</v>
      </c>
      <c r="Z38" s="9">
        <v>-15</v>
      </c>
      <c r="AB38" t="s">
        <v>336</v>
      </c>
    </row>
    <row r="39" spans="1:28" x14ac:dyDescent="0.25">
      <c r="A39" s="12">
        <v>41580</v>
      </c>
      <c r="B39" s="7" t="s">
        <v>277</v>
      </c>
      <c r="C39" s="7">
        <v>33</v>
      </c>
      <c r="D39" s="7" t="s">
        <v>276</v>
      </c>
      <c r="E39" s="7" t="s">
        <v>325</v>
      </c>
      <c r="F39" s="7"/>
      <c r="G39" s="7" t="s">
        <v>254</v>
      </c>
      <c r="H39" s="7">
        <v>2</v>
      </c>
      <c r="I39" s="7">
        <v>0</v>
      </c>
      <c r="J39" s="7" t="s">
        <v>238</v>
      </c>
      <c r="K39" s="7">
        <v>0</v>
      </c>
      <c r="L39" s="7">
        <v>2</v>
      </c>
      <c r="M39" s="7" t="s">
        <v>254</v>
      </c>
      <c r="N39" s="7">
        <v>2</v>
      </c>
      <c r="O39" s="7">
        <v>1</v>
      </c>
      <c r="P39" s="7"/>
      <c r="Q39" s="7"/>
      <c r="R39" s="7"/>
      <c r="S39" s="7">
        <v>2</v>
      </c>
      <c r="T39" s="7">
        <v>1</v>
      </c>
      <c r="U39" s="7">
        <v>2</v>
      </c>
      <c r="V39" s="7">
        <v>-1</v>
      </c>
      <c r="W39" s="7">
        <v>-2</v>
      </c>
      <c r="X39" s="7">
        <f t="shared" si="0"/>
        <v>-6</v>
      </c>
      <c r="Y39" s="8">
        <f>Z39+W39+AA39</f>
        <v>-2</v>
      </c>
      <c r="Z39" s="9">
        <v>0</v>
      </c>
      <c r="AB39" t="s">
        <v>220</v>
      </c>
    </row>
    <row r="40" spans="1:28" x14ac:dyDescent="0.25">
      <c r="A40" s="12">
        <v>41580</v>
      </c>
      <c r="B40" s="7" t="s">
        <v>277</v>
      </c>
      <c r="C40" s="7">
        <v>34</v>
      </c>
      <c r="D40" s="7" t="s">
        <v>276</v>
      </c>
      <c r="E40" s="7" t="s">
        <v>281</v>
      </c>
      <c r="F40" s="7"/>
      <c r="G40" s="7" t="s">
        <v>254</v>
      </c>
      <c r="H40" s="7">
        <v>2</v>
      </c>
      <c r="I40" s="7">
        <v>0</v>
      </c>
      <c r="J40" s="7" t="s">
        <v>238</v>
      </c>
      <c r="K40" s="7">
        <v>1</v>
      </c>
      <c r="L40" s="7">
        <v>2</v>
      </c>
      <c r="M40" s="7" t="s">
        <v>238</v>
      </c>
      <c r="N40" s="7">
        <v>0</v>
      </c>
      <c r="O40" s="7">
        <v>2</v>
      </c>
      <c r="P40" s="7"/>
      <c r="Q40" s="7"/>
      <c r="R40" s="7"/>
      <c r="S40" s="7">
        <v>1</v>
      </c>
      <c r="T40" s="7">
        <v>2</v>
      </c>
      <c r="U40" s="7">
        <v>1</v>
      </c>
      <c r="V40" s="7">
        <v>-2</v>
      </c>
      <c r="W40" s="7">
        <v>-2</v>
      </c>
      <c r="X40" s="7">
        <f t="shared" si="0"/>
        <v>-10</v>
      </c>
      <c r="Y40" s="8">
        <f>Z40+W40+AA40</f>
        <v>7</v>
      </c>
      <c r="Z40" s="9">
        <v>0</v>
      </c>
      <c r="AA40" s="10">
        <v>9</v>
      </c>
      <c r="AB40" t="s">
        <v>346</v>
      </c>
    </row>
    <row r="41" spans="1:28" x14ac:dyDescent="0.25">
      <c r="A41" s="12">
        <v>41581</v>
      </c>
      <c r="B41" s="7" t="s">
        <v>277</v>
      </c>
      <c r="C41" s="7">
        <v>35</v>
      </c>
      <c r="D41" s="7" t="s">
        <v>276</v>
      </c>
      <c r="E41" s="7" t="s">
        <v>353</v>
      </c>
      <c r="F41" s="7"/>
      <c r="G41" s="7" t="s">
        <v>254</v>
      </c>
      <c r="H41" s="7">
        <v>2</v>
      </c>
      <c r="I41" s="7">
        <v>0</v>
      </c>
      <c r="J41" s="7" t="s">
        <v>238</v>
      </c>
      <c r="K41" s="7">
        <v>1</v>
      </c>
      <c r="L41" s="7">
        <v>2</v>
      </c>
      <c r="M41" s="7" t="s">
        <v>254</v>
      </c>
      <c r="N41" s="7">
        <v>2</v>
      </c>
      <c r="O41" s="7">
        <v>1</v>
      </c>
      <c r="P41" s="7"/>
      <c r="Q41" s="7"/>
      <c r="R41" s="7"/>
      <c r="S41" s="7">
        <v>2</v>
      </c>
      <c r="T41" s="7">
        <v>1</v>
      </c>
      <c r="U41" s="7">
        <v>2</v>
      </c>
      <c r="V41" s="7">
        <v>-1</v>
      </c>
      <c r="W41" s="7">
        <v>-2</v>
      </c>
      <c r="X41" s="7">
        <f t="shared" si="0"/>
        <v>-6</v>
      </c>
      <c r="Y41" s="8">
        <f>Z41+W41+AA41</f>
        <v>-2</v>
      </c>
      <c r="Z41" s="9">
        <v>0</v>
      </c>
      <c r="AA41" s="10"/>
      <c r="AB41" t="s">
        <v>339</v>
      </c>
    </row>
    <row r="42" spans="1:28" x14ac:dyDescent="0.25">
      <c r="A42" s="12">
        <v>41582</v>
      </c>
      <c r="B42" s="7" t="s">
        <v>277</v>
      </c>
      <c r="C42" s="7">
        <v>36</v>
      </c>
      <c r="D42" s="7" t="s">
        <v>276</v>
      </c>
      <c r="E42" s="7" t="s">
        <v>278</v>
      </c>
      <c r="F42" s="7"/>
      <c r="G42" s="7" t="s">
        <v>254</v>
      </c>
      <c r="H42" s="7">
        <v>2</v>
      </c>
      <c r="I42" s="7">
        <v>0</v>
      </c>
      <c r="J42" s="7" t="s">
        <v>254</v>
      </c>
      <c r="K42" s="7">
        <v>2</v>
      </c>
      <c r="L42" s="7">
        <v>0</v>
      </c>
      <c r="M42" s="7" t="s">
        <v>340</v>
      </c>
      <c r="N42" s="7">
        <v>1</v>
      </c>
      <c r="O42" s="7">
        <v>2</v>
      </c>
      <c r="P42" s="14"/>
      <c r="Q42" s="14"/>
      <c r="R42" s="14"/>
      <c r="S42" s="14">
        <v>2</v>
      </c>
      <c r="T42" s="14">
        <v>1</v>
      </c>
      <c r="U42" s="7">
        <v>2</v>
      </c>
      <c r="V42" s="7">
        <v>-1</v>
      </c>
      <c r="W42" s="7">
        <v>-2</v>
      </c>
      <c r="X42" s="7">
        <f t="shared" si="0"/>
        <v>-6</v>
      </c>
      <c r="Y42" s="8">
        <f>Z42+W42+AA42</f>
        <v>-2</v>
      </c>
      <c r="Z42" s="9">
        <v>0</v>
      </c>
      <c r="AB42" t="s">
        <v>341</v>
      </c>
    </row>
    <row r="43" spans="1:28" x14ac:dyDescent="0.25">
      <c r="A43" s="12">
        <v>41583</v>
      </c>
      <c r="B43" s="7" t="s">
        <v>277</v>
      </c>
      <c r="C43" s="7">
        <v>37</v>
      </c>
      <c r="D43" s="7" t="s">
        <v>276</v>
      </c>
      <c r="E43" s="7" t="s">
        <v>342</v>
      </c>
      <c r="F43" s="7"/>
      <c r="G43" s="7" t="s">
        <v>254</v>
      </c>
      <c r="H43" s="7">
        <v>2</v>
      </c>
      <c r="I43" s="7">
        <v>1</v>
      </c>
      <c r="J43" s="7" t="s">
        <v>238</v>
      </c>
      <c r="K43" s="7">
        <v>1</v>
      </c>
      <c r="L43" s="7">
        <v>2</v>
      </c>
      <c r="M43" s="7" t="s">
        <v>238</v>
      </c>
      <c r="N43" s="7">
        <v>1</v>
      </c>
      <c r="O43" s="7">
        <v>2</v>
      </c>
      <c r="P43" s="14"/>
      <c r="Q43" s="14"/>
      <c r="R43" s="14"/>
      <c r="S43" s="14">
        <v>1</v>
      </c>
      <c r="T43" s="14">
        <v>2</v>
      </c>
      <c r="U43" s="7">
        <v>1</v>
      </c>
      <c r="V43" s="7">
        <v>-2</v>
      </c>
      <c r="W43" s="7">
        <v>-2</v>
      </c>
      <c r="X43" s="7">
        <f t="shared" si="0"/>
        <v>-10</v>
      </c>
      <c r="Y43" s="8">
        <f>Z43+W43+AA43</f>
        <v>3</v>
      </c>
      <c r="Z43" s="9">
        <v>0</v>
      </c>
      <c r="AA43" s="10">
        <v>5</v>
      </c>
      <c r="AB43" t="s">
        <v>344</v>
      </c>
    </row>
    <row r="44" spans="1:28" x14ac:dyDescent="0.25">
      <c r="A44" s="12">
        <v>41584</v>
      </c>
      <c r="B44" s="7" t="s">
        <v>277</v>
      </c>
      <c r="C44" s="7">
        <v>38</v>
      </c>
      <c r="D44" s="7" t="s">
        <v>276</v>
      </c>
      <c r="E44" s="7" t="s">
        <v>325</v>
      </c>
      <c r="F44" s="7"/>
      <c r="G44" s="7" t="s">
        <v>238</v>
      </c>
      <c r="H44" s="7">
        <v>0</v>
      </c>
      <c r="I44" s="7">
        <v>2</v>
      </c>
      <c r="J44" s="7" t="s">
        <v>254</v>
      </c>
      <c r="K44" s="7">
        <v>2</v>
      </c>
      <c r="L44" s="7">
        <v>0</v>
      </c>
      <c r="M44" s="7" t="s">
        <v>254</v>
      </c>
      <c r="N44" s="7">
        <v>2</v>
      </c>
      <c r="O44" s="7">
        <v>0</v>
      </c>
      <c r="P44" s="14"/>
      <c r="Q44" s="14"/>
      <c r="R44" s="14"/>
      <c r="S44" s="14">
        <v>2</v>
      </c>
      <c r="T44" s="14">
        <v>1</v>
      </c>
      <c r="U44" s="7">
        <v>2</v>
      </c>
      <c r="V44" s="7">
        <v>-1</v>
      </c>
      <c r="W44" s="7">
        <v>-2</v>
      </c>
      <c r="X44" s="7">
        <f t="shared" si="0"/>
        <v>-6</v>
      </c>
      <c r="Y44" s="8">
        <f>Z44+W44+AA44</f>
        <v>-2</v>
      </c>
      <c r="Z44" s="9">
        <v>0</v>
      </c>
      <c r="AB44" t="s">
        <v>186</v>
      </c>
    </row>
    <row r="45" spans="1:28" x14ac:dyDescent="0.25">
      <c r="A45" s="12">
        <v>41584</v>
      </c>
      <c r="B45" s="7" t="s">
        <v>277</v>
      </c>
      <c r="C45" s="7">
        <v>39</v>
      </c>
      <c r="D45" s="7" t="s">
        <v>276</v>
      </c>
      <c r="E45" s="7" t="s">
        <v>325</v>
      </c>
      <c r="F45" s="7"/>
      <c r="G45" s="7" t="s">
        <v>238</v>
      </c>
      <c r="H45" s="7">
        <v>0</v>
      </c>
      <c r="I45" s="7">
        <v>2</v>
      </c>
      <c r="J45" s="7" t="s">
        <v>238</v>
      </c>
      <c r="K45" s="7">
        <v>1</v>
      </c>
      <c r="L45" s="7">
        <v>2</v>
      </c>
      <c r="M45" s="7" t="s">
        <v>238</v>
      </c>
      <c r="N45" s="7">
        <v>1</v>
      </c>
      <c r="O45" s="7">
        <v>2</v>
      </c>
      <c r="P45" s="14"/>
      <c r="Q45" s="14"/>
      <c r="R45" s="14"/>
      <c r="S45" s="14">
        <v>0</v>
      </c>
      <c r="T45" s="14">
        <v>3</v>
      </c>
      <c r="U45" s="7">
        <v>0</v>
      </c>
      <c r="V45" s="7">
        <v>-3</v>
      </c>
      <c r="W45" s="7">
        <v>-2</v>
      </c>
      <c r="X45" s="7">
        <f t="shared" si="0"/>
        <v>-14</v>
      </c>
      <c r="Y45" s="8">
        <f>Z45+W45+AA45</f>
        <v>-2</v>
      </c>
      <c r="Z45" s="9">
        <v>0</v>
      </c>
      <c r="AA45" s="10"/>
      <c r="AB45" t="s">
        <v>343</v>
      </c>
    </row>
    <row r="46" spans="1:28" x14ac:dyDescent="0.25">
      <c r="A46" s="12">
        <v>41585</v>
      </c>
      <c r="B46" s="7" t="s">
        <v>277</v>
      </c>
      <c r="C46" s="7">
        <v>40</v>
      </c>
      <c r="D46" s="7" t="s">
        <v>276</v>
      </c>
      <c r="E46" s="7" t="s">
        <v>342</v>
      </c>
      <c r="F46" s="7"/>
      <c r="G46" s="7" t="s">
        <v>238</v>
      </c>
      <c r="H46" s="7">
        <v>0</v>
      </c>
      <c r="I46" s="7">
        <v>2</v>
      </c>
      <c r="J46" s="7" t="s">
        <v>254</v>
      </c>
      <c r="K46" s="7">
        <v>2</v>
      </c>
      <c r="L46" s="7">
        <v>0</v>
      </c>
      <c r="M46" s="7" t="s">
        <v>238</v>
      </c>
      <c r="N46" s="7">
        <v>1</v>
      </c>
      <c r="O46" s="7">
        <v>2</v>
      </c>
      <c r="P46" s="14"/>
      <c r="Q46" s="14"/>
      <c r="R46" s="14"/>
      <c r="S46" s="14">
        <v>1</v>
      </c>
      <c r="T46" s="14">
        <v>2</v>
      </c>
      <c r="U46" s="7">
        <v>1</v>
      </c>
      <c r="V46" s="7">
        <v>-2</v>
      </c>
      <c r="W46" s="7">
        <v>-2</v>
      </c>
      <c r="X46" s="7">
        <f t="shared" si="0"/>
        <v>-10</v>
      </c>
      <c r="Y46" s="8">
        <f>Z46+W46+AA46</f>
        <v>3</v>
      </c>
      <c r="Z46" s="9">
        <v>0</v>
      </c>
      <c r="AA46" s="10">
        <v>5</v>
      </c>
      <c r="AB46" s="19" t="s">
        <v>349</v>
      </c>
    </row>
    <row r="47" spans="1:28" x14ac:dyDescent="0.25">
      <c r="A47" s="12">
        <v>41587</v>
      </c>
      <c r="B47" s="7" t="s">
        <v>277</v>
      </c>
      <c r="C47" s="7">
        <v>41</v>
      </c>
      <c r="D47" s="7" t="s">
        <v>276</v>
      </c>
      <c r="E47" s="7" t="s">
        <v>345</v>
      </c>
      <c r="F47" s="7"/>
      <c r="G47" s="7" t="s">
        <v>254</v>
      </c>
      <c r="H47" s="7">
        <v>2</v>
      </c>
      <c r="I47" s="7">
        <v>0</v>
      </c>
      <c r="J47" s="7" t="s">
        <v>254</v>
      </c>
      <c r="K47" s="7">
        <v>2</v>
      </c>
      <c r="L47" s="7">
        <v>1</v>
      </c>
      <c r="M47" s="7" t="s">
        <v>254</v>
      </c>
      <c r="N47" s="7">
        <v>2</v>
      </c>
      <c r="O47" s="7">
        <v>1</v>
      </c>
      <c r="P47" s="14"/>
      <c r="Q47" s="14"/>
      <c r="R47" s="14"/>
      <c r="S47" s="14">
        <v>3</v>
      </c>
      <c r="T47" s="14">
        <v>0</v>
      </c>
      <c r="U47" s="7">
        <v>3</v>
      </c>
      <c r="V47" s="7">
        <v>0</v>
      </c>
      <c r="W47" s="7">
        <v>-2</v>
      </c>
      <c r="X47" s="7">
        <f t="shared" si="0"/>
        <v>-2</v>
      </c>
      <c r="Y47" s="8">
        <f>Z47+W47+AA47</f>
        <v>-2</v>
      </c>
      <c r="Z47" s="9">
        <v>0</v>
      </c>
      <c r="AB47" t="s">
        <v>348</v>
      </c>
    </row>
    <row r="48" spans="1:28" x14ac:dyDescent="0.25">
      <c r="A48" s="12">
        <v>41587</v>
      </c>
      <c r="B48" s="7" t="s">
        <v>277</v>
      </c>
      <c r="C48" s="7">
        <v>42</v>
      </c>
      <c r="D48" s="7" t="s">
        <v>276</v>
      </c>
      <c r="E48" s="7" t="s">
        <v>356</v>
      </c>
      <c r="F48" s="7"/>
      <c r="G48" s="7" t="s">
        <v>254</v>
      </c>
      <c r="H48" s="7">
        <v>2</v>
      </c>
      <c r="I48" s="7">
        <v>0</v>
      </c>
      <c r="J48" s="7" t="s">
        <v>254</v>
      </c>
      <c r="K48" s="7">
        <v>2</v>
      </c>
      <c r="L48" s="7">
        <v>0</v>
      </c>
      <c r="M48" s="7" t="s">
        <v>254</v>
      </c>
      <c r="N48" s="7">
        <v>2</v>
      </c>
      <c r="O48" s="7">
        <v>0</v>
      </c>
      <c r="P48" s="14"/>
      <c r="Q48" s="14"/>
      <c r="R48" s="14"/>
      <c r="S48" s="14">
        <v>3</v>
      </c>
      <c r="T48" s="14">
        <v>0</v>
      </c>
      <c r="U48" s="7">
        <v>3</v>
      </c>
      <c r="V48" s="7">
        <v>0</v>
      </c>
      <c r="W48" s="7">
        <v>-2</v>
      </c>
      <c r="X48" s="7">
        <f t="shared" si="0"/>
        <v>-2</v>
      </c>
      <c r="Y48" s="8">
        <f>Z48+W48+AA48</f>
        <v>-2</v>
      </c>
      <c r="Z48" s="9">
        <v>0</v>
      </c>
      <c r="AB48" t="s">
        <v>347</v>
      </c>
    </row>
    <row r="49" spans="1:28" x14ac:dyDescent="0.25">
      <c r="A49" s="12">
        <v>41589</v>
      </c>
      <c r="B49" s="7" t="s">
        <v>277</v>
      </c>
      <c r="C49" s="7">
        <v>43</v>
      </c>
      <c r="D49" s="7" t="s">
        <v>276</v>
      </c>
      <c r="E49" s="7" t="s">
        <v>325</v>
      </c>
      <c r="F49" s="7"/>
      <c r="G49" s="7" t="s">
        <v>238</v>
      </c>
      <c r="H49" s="7">
        <v>1</v>
      </c>
      <c r="I49" s="7">
        <v>2</v>
      </c>
      <c r="J49" s="7" t="s">
        <v>254</v>
      </c>
      <c r="K49" s="7">
        <v>2</v>
      </c>
      <c r="L49" s="7">
        <v>0</v>
      </c>
      <c r="M49" s="7" t="s">
        <v>254</v>
      </c>
      <c r="N49" s="7">
        <v>2</v>
      </c>
      <c r="O49" s="7">
        <v>0</v>
      </c>
      <c r="P49" s="14"/>
      <c r="Q49" s="14"/>
      <c r="R49" s="14"/>
      <c r="S49" s="14">
        <v>2</v>
      </c>
      <c r="T49" s="14">
        <v>1</v>
      </c>
      <c r="U49" s="7">
        <v>2</v>
      </c>
      <c r="V49" s="7">
        <v>-1</v>
      </c>
      <c r="W49" s="7">
        <v>-2</v>
      </c>
      <c r="X49" s="7">
        <f t="shared" si="0"/>
        <v>-6</v>
      </c>
      <c r="Y49" s="8">
        <f>Z49+W49+AA49</f>
        <v>-2</v>
      </c>
      <c r="Z49" s="9">
        <v>0</v>
      </c>
      <c r="AA49" s="10"/>
      <c r="AB49" t="s">
        <v>206</v>
      </c>
    </row>
    <row r="50" spans="1:28" x14ac:dyDescent="0.25">
      <c r="A50" s="12">
        <v>41590</v>
      </c>
      <c r="B50" s="7" t="s">
        <v>277</v>
      </c>
      <c r="C50" s="7">
        <v>44</v>
      </c>
      <c r="D50" s="7" t="s">
        <v>276</v>
      </c>
      <c r="E50" s="7" t="s">
        <v>281</v>
      </c>
      <c r="F50" s="7"/>
      <c r="G50" s="7" t="s">
        <v>254</v>
      </c>
      <c r="H50" s="7">
        <v>2</v>
      </c>
      <c r="I50" s="7">
        <v>0</v>
      </c>
      <c r="J50" s="7" t="s">
        <v>254</v>
      </c>
      <c r="K50" s="7">
        <v>2</v>
      </c>
      <c r="L50" s="7">
        <v>1</v>
      </c>
      <c r="M50" s="7" t="s">
        <v>238</v>
      </c>
      <c r="N50" s="7">
        <v>1</v>
      </c>
      <c r="O50" s="7">
        <v>2</v>
      </c>
      <c r="P50" s="14"/>
      <c r="Q50" s="14"/>
      <c r="R50" s="14"/>
      <c r="S50" s="14">
        <v>2</v>
      </c>
      <c r="T50" s="14">
        <v>1</v>
      </c>
      <c r="U50" s="7">
        <v>2</v>
      </c>
      <c r="V50" s="7">
        <v>-1</v>
      </c>
      <c r="W50" s="7">
        <v>-2</v>
      </c>
      <c r="X50" s="7">
        <f t="shared" si="0"/>
        <v>-6</v>
      </c>
      <c r="Y50" s="8">
        <f>Z50+W50+AA50</f>
        <v>5</v>
      </c>
      <c r="Z50" s="9">
        <v>0</v>
      </c>
      <c r="AA50" s="10">
        <v>7</v>
      </c>
      <c r="AB50" t="s">
        <v>359</v>
      </c>
    </row>
    <row r="51" spans="1:28" x14ac:dyDescent="0.25">
      <c r="A51" s="12">
        <v>41590</v>
      </c>
      <c r="B51" s="7" t="s">
        <v>277</v>
      </c>
      <c r="C51" s="7">
        <v>45</v>
      </c>
      <c r="D51" s="7" t="s">
        <v>276</v>
      </c>
      <c r="E51" s="7" t="s">
        <v>352</v>
      </c>
      <c r="F51" s="7"/>
      <c r="G51" s="7" t="s">
        <v>238</v>
      </c>
      <c r="H51" s="7">
        <v>0</v>
      </c>
      <c r="I51" s="7">
        <v>2</v>
      </c>
      <c r="J51" s="7" t="s">
        <v>254</v>
      </c>
      <c r="K51" s="7">
        <v>2</v>
      </c>
      <c r="L51" s="7">
        <v>1</v>
      </c>
      <c r="M51" s="7" t="s">
        <v>254</v>
      </c>
      <c r="N51" s="7">
        <v>2</v>
      </c>
      <c r="O51" s="7">
        <v>1</v>
      </c>
      <c r="P51" s="14"/>
      <c r="Q51" s="14"/>
      <c r="R51" s="14"/>
      <c r="S51" s="14">
        <v>2</v>
      </c>
      <c r="T51" s="14">
        <v>1</v>
      </c>
      <c r="U51" s="7">
        <v>2</v>
      </c>
      <c r="V51" s="7">
        <v>-1</v>
      </c>
      <c r="W51" s="7">
        <v>-2</v>
      </c>
      <c r="X51" s="7">
        <f t="shared" si="0"/>
        <v>-6</v>
      </c>
      <c r="Y51" s="8">
        <f>Z51+W51+AA51</f>
        <v>-5</v>
      </c>
      <c r="Z51" s="9">
        <v>-3</v>
      </c>
      <c r="AB51" t="s">
        <v>350</v>
      </c>
    </row>
    <row r="52" spans="1:28" x14ac:dyDescent="0.25">
      <c r="A52" s="12">
        <v>41591</v>
      </c>
      <c r="B52" s="7" t="s">
        <v>277</v>
      </c>
      <c r="C52" s="7">
        <v>46</v>
      </c>
      <c r="D52" s="7" t="s">
        <v>276</v>
      </c>
      <c r="E52" s="7" t="s">
        <v>317</v>
      </c>
      <c r="F52" s="7"/>
      <c r="G52" s="7" t="s">
        <v>254</v>
      </c>
      <c r="H52" s="7">
        <v>2</v>
      </c>
      <c r="I52" s="7">
        <v>0</v>
      </c>
      <c r="J52" s="7" t="s">
        <v>238</v>
      </c>
      <c r="K52" s="7">
        <v>1</v>
      </c>
      <c r="L52" s="7">
        <v>2</v>
      </c>
      <c r="M52" s="7" t="s">
        <v>254</v>
      </c>
      <c r="N52" s="7">
        <v>2</v>
      </c>
      <c r="O52" s="7">
        <v>0</v>
      </c>
      <c r="P52" s="14"/>
      <c r="Q52" s="14"/>
      <c r="R52" s="14"/>
      <c r="S52" s="14">
        <v>2</v>
      </c>
      <c r="T52" s="14">
        <v>1</v>
      </c>
      <c r="U52" s="7">
        <v>2</v>
      </c>
      <c r="V52" s="7">
        <v>-1</v>
      </c>
      <c r="W52" s="7">
        <v>-2</v>
      </c>
      <c r="X52" s="7">
        <f t="shared" si="0"/>
        <v>-6</v>
      </c>
      <c r="Y52" s="8">
        <f>Z52+W52+AA52</f>
        <v>-11</v>
      </c>
      <c r="Z52" s="9">
        <v>-21</v>
      </c>
      <c r="AA52" s="10">
        <v>12</v>
      </c>
      <c r="AB52" t="s">
        <v>367</v>
      </c>
    </row>
    <row r="53" spans="1:28" x14ac:dyDescent="0.25">
      <c r="A53" s="12">
        <v>41592</v>
      </c>
      <c r="B53" s="7" t="s">
        <v>277</v>
      </c>
      <c r="C53" s="7">
        <v>47</v>
      </c>
      <c r="D53" s="7" t="s">
        <v>276</v>
      </c>
      <c r="E53" s="7" t="s">
        <v>278</v>
      </c>
      <c r="F53" s="7"/>
      <c r="G53" s="7" t="s">
        <v>254</v>
      </c>
      <c r="H53" s="7">
        <v>2</v>
      </c>
      <c r="I53" s="7">
        <v>0</v>
      </c>
      <c r="J53" s="7" t="s">
        <v>238</v>
      </c>
      <c r="K53" s="7">
        <v>0</v>
      </c>
      <c r="L53" s="7">
        <v>2</v>
      </c>
      <c r="M53" s="7" t="s">
        <v>238</v>
      </c>
      <c r="N53" s="7">
        <v>1</v>
      </c>
      <c r="O53" s="7">
        <v>2</v>
      </c>
      <c r="P53" s="14"/>
      <c r="Q53" s="14"/>
      <c r="R53" s="14"/>
      <c r="S53" s="14">
        <v>1</v>
      </c>
      <c r="T53" s="14">
        <v>2</v>
      </c>
      <c r="U53" s="7">
        <v>1</v>
      </c>
      <c r="V53" s="7">
        <v>-2</v>
      </c>
      <c r="W53" s="7">
        <v>-2</v>
      </c>
      <c r="X53" s="7">
        <f t="shared" si="0"/>
        <v>-10</v>
      </c>
      <c r="Y53" s="8">
        <f>Z53+W53+AA53</f>
        <v>3</v>
      </c>
      <c r="Z53" s="9">
        <v>0</v>
      </c>
      <c r="AA53" s="10">
        <v>5</v>
      </c>
      <c r="AB53" t="s">
        <v>363</v>
      </c>
    </row>
    <row r="54" spans="1:28" x14ac:dyDescent="0.25">
      <c r="A54" s="12">
        <v>41593</v>
      </c>
      <c r="B54" s="7" t="s">
        <v>277</v>
      </c>
      <c r="C54" s="7">
        <v>48</v>
      </c>
      <c r="D54" s="7" t="s">
        <v>276</v>
      </c>
      <c r="E54" s="7" t="s">
        <v>281</v>
      </c>
      <c r="F54" s="7" t="s">
        <v>235</v>
      </c>
      <c r="G54" s="7" t="s">
        <v>254</v>
      </c>
      <c r="H54" s="7">
        <v>2</v>
      </c>
      <c r="I54" s="7">
        <v>0</v>
      </c>
      <c r="J54" s="7" t="s">
        <v>238</v>
      </c>
      <c r="K54" s="7">
        <v>0</v>
      </c>
      <c r="L54" s="7">
        <v>2</v>
      </c>
      <c r="M54" s="7" t="s">
        <v>254</v>
      </c>
      <c r="N54" s="7">
        <v>2</v>
      </c>
      <c r="O54" s="7">
        <v>0</v>
      </c>
      <c r="P54" s="14"/>
      <c r="Q54" s="14"/>
      <c r="R54" s="14"/>
      <c r="S54" s="14">
        <v>2</v>
      </c>
      <c r="T54" s="14">
        <v>1</v>
      </c>
      <c r="U54" s="7">
        <v>2</v>
      </c>
      <c r="V54" s="7">
        <v>-2</v>
      </c>
      <c r="W54" s="7">
        <v>-2</v>
      </c>
      <c r="X54" s="7">
        <f t="shared" si="0"/>
        <v>-6</v>
      </c>
      <c r="Y54" s="8">
        <f>Z54+W54+AA54</f>
        <v>3</v>
      </c>
      <c r="Z54" s="9">
        <v>0</v>
      </c>
      <c r="AA54" s="4">
        <v>5</v>
      </c>
      <c r="AB54" t="s">
        <v>366</v>
      </c>
    </row>
    <row r="55" spans="1:28" x14ac:dyDescent="0.25">
      <c r="A55" s="12">
        <v>41593</v>
      </c>
      <c r="B55" s="7" t="s">
        <v>277</v>
      </c>
      <c r="C55" s="7">
        <v>49</v>
      </c>
      <c r="D55" s="7" t="s">
        <v>276</v>
      </c>
      <c r="E55" s="7" t="s">
        <v>311</v>
      </c>
      <c r="F55" s="7"/>
      <c r="G55" s="7" t="s">
        <v>254</v>
      </c>
      <c r="H55" s="7">
        <v>2</v>
      </c>
      <c r="I55" s="7">
        <v>0</v>
      </c>
      <c r="J55" s="7" t="s">
        <v>254</v>
      </c>
      <c r="K55" s="7">
        <v>2</v>
      </c>
      <c r="L55" s="7">
        <v>0</v>
      </c>
      <c r="M55" s="7" t="s">
        <v>254</v>
      </c>
      <c r="N55" s="7">
        <v>3</v>
      </c>
      <c r="O55" s="7">
        <v>0</v>
      </c>
      <c r="P55" s="14"/>
      <c r="Q55" s="14"/>
      <c r="R55" s="14"/>
      <c r="S55" s="14">
        <v>3</v>
      </c>
      <c r="T55" s="14">
        <v>0</v>
      </c>
      <c r="U55" s="7">
        <v>3</v>
      </c>
      <c r="V55" s="7">
        <v>0</v>
      </c>
      <c r="W55" s="7">
        <v>-2</v>
      </c>
      <c r="X55" s="7">
        <f t="shared" si="0"/>
        <v>-2</v>
      </c>
      <c r="Y55" s="8">
        <f>Z55+W55+AA55</f>
        <v>1</v>
      </c>
      <c r="Z55" s="9">
        <v>0</v>
      </c>
      <c r="AA55" s="4">
        <v>3</v>
      </c>
      <c r="AB55" t="s">
        <v>368</v>
      </c>
    </row>
    <row r="56" spans="1:28" x14ac:dyDescent="0.25">
      <c r="A56" s="12">
        <v>41594</v>
      </c>
      <c r="B56" s="7" t="s">
        <v>277</v>
      </c>
      <c r="C56" s="7">
        <v>50</v>
      </c>
      <c r="D56" s="7" t="s">
        <v>276</v>
      </c>
      <c r="E56" s="7" t="s">
        <v>353</v>
      </c>
      <c r="F56" s="7"/>
      <c r="G56" s="7" t="s">
        <v>254</v>
      </c>
      <c r="H56" s="7">
        <v>2</v>
      </c>
      <c r="I56" s="7">
        <v>1</v>
      </c>
      <c r="J56" s="7" t="s">
        <v>254</v>
      </c>
      <c r="K56" s="7">
        <v>2</v>
      </c>
      <c r="L56" s="7">
        <v>0</v>
      </c>
      <c r="M56" s="7" t="s">
        <v>254</v>
      </c>
      <c r="N56" s="7">
        <v>2</v>
      </c>
      <c r="O56" s="7">
        <v>0</v>
      </c>
      <c r="P56" s="14"/>
      <c r="Q56" s="14"/>
      <c r="R56" s="14"/>
      <c r="S56" s="14">
        <v>3</v>
      </c>
      <c r="T56" s="14">
        <v>0</v>
      </c>
      <c r="U56" s="7">
        <v>3</v>
      </c>
      <c r="V56" s="7">
        <v>0</v>
      </c>
      <c r="W56" s="7">
        <v>-2</v>
      </c>
      <c r="X56" s="7">
        <f t="shared" si="0"/>
        <v>-2</v>
      </c>
      <c r="Y56" s="8">
        <f>Z56+W56+AA56</f>
        <v>3</v>
      </c>
      <c r="Z56" s="9">
        <v>0</v>
      </c>
      <c r="AA56" s="10">
        <v>5</v>
      </c>
      <c r="AB56" t="s">
        <v>362</v>
      </c>
    </row>
    <row r="57" spans="1:28" x14ac:dyDescent="0.25">
      <c r="A57" s="12">
        <v>41595</v>
      </c>
      <c r="B57" s="7" t="s">
        <v>277</v>
      </c>
      <c r="C57" s="7">
        <v>51</v>
      </c>
      <c r="D57" s="7" t="s">
        <v>276</v>
      </c>
      <c r="E57" s="7" t="s">
        <v>325</v>
      </c>
      <c r="F57" s="7"/>
      <c r="G57" s="7" t="s">
        <v>254</v>
      </c>
      <c r="H57" s="7">
        <v>2</v>
      </c>
      <c r="I57" s="7">
        <v>0</v>
      </c>
      <c r="J57" s="7" t="s">
        <v>238</v>
      </c>
      <c r="K57" s="7">
        <v>1</v>
      </c>
      <c r="L57" s="7">
        <v>2</v>
      </c>
      <c r="M57" s="7" t="s">
        <v>254</v>
      </c>
      <c r="N57" s="7">
        <v>2</v>
      </c>
      <c r="O57" s="7">
        <v>1</v>
      </c>
      <c r="P57" s="14"/>
      <c r="Q57" s="14"/>
      <c r="R57" s="14"/>
      <c r="S57" s="14">
        <v>2</v>
      </c>
      <c r="T57" s="14">
        <v>1</v>
      </c>
      <c r="U57" s="7">
        <v>2</v>
      </c>
      <c r="V57" s="7">
        <v>-1</v>
      </c>
      <c r="W57" s="7">
        <v>-2</v>
      </c>
      <c r="X57" s="7">
        <f t="shared" si="0"/>
        <v>-6</v>
      </c>
      <c r="Y57" s="8">
        <f>Z57+W57+AA57</f>
        <v>-2</v>
      </c>
      <c r="Z57" s="9">
        <v>0</v>
      </c>
      <c r="AA57" s="10"/>
      <c r="AB57" t="s">
        <v>360</v>
      </c>
    </row>
    <row r="58" spans="1:28" x14ac:dyDescent="0.25">
      <c r="A58" s="12">
        <v>41596</v>
      </c>
      <c r="B58" s="7" t="s">
        <v>277</v>
      </c>
      <c r="C58" s="7">
        <v>52</v>
      </c>
      <c r="D58" s="7" t="s">
        <v>276</v>
      </c>
      <c r="E58" s="7" t="s">
        <v>281</v>
      </c>
      <c r="F58" s="7"/>
      <c r="G58" s="7" t="s">
        <v>254</v>
      </c>
      <c r="H58" s="7">
        <v>2</v>
      </c>
      <c r="I58" s="7">
        <v>0</v>
      </c>
      <c r="J58" s="7" t="s">
        <v>254</v>
      </c>
      <c r="K58" s="7">
        <v>2</v>
      </c>
      <c r="L58" s="7">
        <v>0</v>
      </c>
      <c r="M58" s="7" t="s">
        <v>238</v>
      </c>
      <c r="N58" s="7">
        <v>0</v>
      </c>
      <c r="O58" s="7">
        <v>2</v>
      </c>
      <c r="P58" s="14"/>
      <c r="Q58" s="14"/>
      <c r="R58" s="14"/>
      <c r="S58" s="14">
        <v>2</v>
      </c>
      <c r="T58" s="14">
        <v>1</v>
      </c>
      <c r="U58" s="7">
        <v>2</v>
      </c>
      <c r="V58" s="7">
        <v>-1</v>
      </c>
      <c r="W58" s="7">
        <v>-2</v>
      </c>
      <c r="X58" s="7">
        <f t="shared" si="0"/>
        <v>-6</v>
      </c>
      <c r="Y58" s="8">
        <f>Z58+W58+AA58</f>
        <v>3</v>
      </c>
      <c r="Z58" s="9">
        <v>0</v>
      </c>
      <c r="AA58" s="10">
        <v>5</v>
      </c>
      <c r="AB58" t="s">
        <v>361</v>
      </c>
    </row>
    <row r="59" spans="1:28" x14ac:dyDescent="0.25">
      <c r="A59" s="12">
        <v>41596</v>
      </c>
      <c r="B59" s="7" t="s">
        <v>277</v>
      </c>
      <c r="C59" s="7">
        <v>53</v>
      </c>
      <c r="D59" s="7" t="s">
        <v>276</v>
      </c>
      <c r="E59" s="7" t="s">
        <v>281</v>
      </c>
      <c r="F59" s="7" t="s">
        <v>235</v>
      </c>
      <c r="G59" s="7" t="s">
        <v>254</v>
      </c>
      <c r="H59" s="7">
        <v>2</v>
      </c>
      <c r="I59" s="7">
        <v>1</v>
      </c>
      <c r="J59" s="7" t="s">
        <v>238</v>
      </c>
      <c r="K59" s="7">
        <v>0</v>
      </c>
      <c r="L59" s="7">
        <v>2</v>
      </c>
      <c r="M59" s="7" t="s">
        <v>238</v>
      </c>
      <c r="N59" s="7">
        <v>1</v>
      </c>
      <c r="O59" s="7">
        <v>2</v>
      </c>
      <c r="P59" s="14"/>
      <c r="Q59" s="14"/>
      <c r="R59" s="14"/>
      <c r="S59" s="14">
        <v>1</v>
      </c>
      <c r="T59" s="14">
        <v>2</v>
      </c>
      <c r="U59" s="7">
        <v>1</v>
      </c>
      <c r="V59" s="7">
        <v>-2</v>
      </c>
      <c r="W59" s="7">
        <v>-2</v>
      </c>
      <c r="X59" s="7">
        <f t="shared" si="0"/>
        <v>-10</v>
      </c>
      <c r="Y59" s="8">
        <f>Z59+W59+AA59</f>
        <v>3</v>
      </c>
      <c r="Z59" s="9">
        <v>-4</v>
      </c>
      <c r="AA59" s="10">
        <v>9</v>
      </c>
      <c r="AB59" t="s">
        <v>380</v>
      </c>
    </row>
    <row r="60" spans="1:28" x14ac:dyDescent="0.25">
      <c r="A60" s="12">
        <v>41607</v>
      </c>
      <c r="B60" s="7" t="s">
        <v>277</v>
      </c>
      <c r="C60" s="7">
        <v>54</v>
      </c>
      <c r="D60" s="7" t="s">
        <v>276</v>
      </c>
      <c r="E60" s="7" t="s">
        <v>342</v>
      </c>
      <c r="F60" s="7"/>
      <c r="G60" s="7" t="s">
        <v>254</v>
      </c>
      <c r="H60" s="7">
        <v>2</v>
      </c>
      <c r="I60" s="7">
        <v>0</v>
      </c>
      <c r="J60" s="7" t="s">
        <v>238</v>
      </c>
      <c r="K60" s="7">
        <v>1</v>
      </c>
      <c r="L60" s="7">
        <v>2</v>
      </c>
      <c r="M60" s="7" t="s">
        <v>254</v>
      </c>
      <c r="N60" s="7">
        <v>2</v>
      </c>
      <c r="O60" s="7">
        <v>1</v>
      </c>
      <c r="P60" s="14"/>
      <c r="Q60" s="14"/>
      <c r="R60" s="14"/>
      <c r="S60" s="14">
        <v>2</v>
      </c>
      <c r="T60" s="14">
        <v>1</v>
      </c>
      <c r="U60" s="7">
        <v>2</v>
      </c>
      <c r="V60" s="7">
        <v>-2</v>
      </c>
      <c r="W60" s="7">
        <v>-2</v>
      </c>
      <c r="X60" s="7">
        <f t="shared" si="0"/>
        <v>-6</v>
      </c>
      <c r="Y60" s="8">
        <f>Z60+W60+AA60</f>
        <v>-9</v>
      </c>
      <c r="Z60" s="9">
        <v>-7</v>
      </c>
      <c r="AA60" s="4"/>
      <c r="AB60" t="s">
        <v>364</v>
      </c>
    </row>
    <row r="61" spans="1:28" x14ac:dyDescent="0.25">
      <c r="A61" s="12">
        <v>41608</v>
      </c>
      <c r="B61" s="7" t="s">
        <v>277</v>
      </c>
      <c r="C61" s="7">
        <v>55</v>
      </c>
      <c r="D61" s="7" t="s">
        <v>276</v>
      </c>
      <c r="E61" s="7" t="s">
        <v>342</v>
      </c>
      <c r="F61" s="7"/>
      <c r="G61" s="7" t="s">
        <v>254</v>
      </c>
      <c r="H61" s="7">
        <v>2</v>
      </c>
      <c r="I61" s="7">
        <v>0</v>
      </c>
      <c r="J61" s="7" t="s">
        <v>254</v>
      </c>
      <c r="K61" s="7">
        <v>2</v>
      </c>
      <c r="L61" s="7">
        <v>0</v>
      </c>
      <c r="M61" s="7" t="s">
        <v>238</v>
      </c>
      <c r="N61" s="7">
        <v>1</v>
      </c>
      <c r="O61" s="7">
        <v>2</v>
      </c>
      <c r="P61" s="14"/>
      <c r="Q61" s="14"/>
      <c r="R61" s="14"/>
      <c r="S61" s="14">
        <v>2</v>
      </c>
      <c r="T61" s="14">
        <v>1</v>
      </c>
      <c r="U61" s="7">
        <v>2</v>
      </c>
      <c r="V61" s="7">
        <v>-1</v>
      </c>
      <c r="W61" s="7">
        <v>-2</v>
      </c>
      <c r="X61" s="7">
        <f t="shared" si="0"/>
        <v>-6</v>
      </c>
      <c r="Y61" s="8">
        <f>Z61+W61+AA61</f>
        <v>-5</v>
      </c>
      <c r="Z61" s="9">
        <v>-3</v>
      </c>
      <c r="AB61" t="s">
        <v>365</v>
      </c>
    </row>
    <row r="62" spans="1:28" x14ac:dyDescent="0.25">
      <c r="A62" s="12">
        <v>41613</v>
      </c>
      <c r="B62" s="7" t="s">
        <v>277</v>
      </c>
      <c r="C62" s="7">
        <v>56</v>
      </c>
      <c r="D62" s="7" t="s">
        <v>276</v>
      </c>
      <c r="E62" s="7" t="s">
        <v>281</v>
      </c>
      <c r="F62" s="7"/>
      <c r="G62" s="7" t="s">
        <v>254</v>
      </c>
      <c r="H62" s="7">
        <v>2</v>
      </c>
      <c r="I62" s="7">
        <v>0</v>
      </c>
      <c r="J62" s="7" t="s">
        <v>238</v>
      </c>
      <c r="K62" s="7">
        <v>1</v>
      </c>
      <c r="L62" s="7">
        <v>2</v>
      </c>
      <c r="M62" s="7" t="s">
        <v>254</v>
      </c>
      <c r="N62" s="7">
        <v>2</v>
      </c>
      <c r="O62" s="7">
        <v>1</v>
      </c>
      <c r="P62" s="14"/>
      <c r="Q62" s="14"/>
      <c r="R62" s="14"/>
      <c r="S62" s="14">
        <v>2</v>
      </c>
      <c r="T62" s="14">
        <v>1</v>
      </c>
      <c r="U62" s="7">
        <v>2</v>
      </c>
      <c r="V62" s="7">
        <v>-1</v>
      </c>
      <c r="W62" s="7">
        <v>-2</v>
      </c>
      <c r="X62" s="7">
        <f t="shared" si="0"/>
        <v>-6</v>
      </c>
      <c r="Y62" s="8">
        <f>Z62+W62+AA62</f>
        <v>9</v>
      </c>
      <c r="Z62" s="9">
        <v>-4</v>
      </c>
      <c r="AA62" s="10">
        <v>15</v>
      </c>
      <c r="AB62" t="s">
        <v>369</v>
      </c>
    </row>
    <row r="63" spans="1:28" x14ac:dyDescent="0.25">
      <c r="A63" s="12">
        <v>41615</v>
      </c>
      <c r="B63" s="7" t="s">
        <v>277</v>
      </c>
      <c r="C63" s="7">
        <v>57</v>
      </c>
      <c r="D63" s="7" t="s">
        <v>276</v>
      </c>
      <c r="E63" s="7" t="s">
        <v>278</v>
      </c>
      <c r="F63" s="7"/>
      <c r="G63" s="7" t="s">
        <v>254</v>
      </c>
      <c r="H63" s="7">
        <v>2</v>
      </c>
      <c r="I63" s="7">
        <v>0</v>
      </c>
      <c r="J63" s="7" t="s">
        <v>254</v>
      </c>
      <c r="K63" s="7">
        <v>2</v>
      </c>
      <c r="L63" s="7">
        <v>1</v>
      </c>
      <c r="M63" s="7" t="s">
        <v>254</v>
      </c>
      <c r="N63" s="7">
        <v>2</v>
      </c>
      <c r="O63" s="7">
        <v>0</v>
      </c>
      <c r="P63" s="14"/>
      <c r="Q63" s="14"/>
      <c r="R63" s="14"/>
      <c r="S63" s="14">
        <v>3</v>
      </c>
      <c r="T63" s="14">
        <v>0</v>
      </c>
      <c r="U63" s="7">
        <v>3</v>
      </c>
      <c r="V63" s="7">
        <v>0</v>
      </c>
      <c r="W63" s="7">
        <v>-2</v>
      </c>
      <c r="X63" s="7">
        <f t="shared" si="0"/>
        <v>-2</v>
      </c>
      <c r="Y63" s="8">
        <f>Z63+W63+AA63</f>
        <v>-5</v>
      </c>
      <c r="Z63" s="9">
        <v>-3</v>
      </c>
      <c r="AA63" s="10"/>
      <c r="AB63" t="s">
        <v>370</v>
      </c>
    </row>
    <row r="64" spans="1:28" x14ac:dyDescent="0.25">
      <c r="A64" s="12">
        <v>41616</v>
      </c>
      <c r="B64" s="7" t="s">
        <v>277</v>
      </c>
      <c r="C64" s="7">
        <v>58</v>
      </c>
      <c r="D64" s="7" t="s">
        <v>276</v>
      </c>
      <c r="E64" s="7" t="s">
        <v>356</v>
      </c>
      <c r="F64" s="7"/>
      <c r="G64" s="7" t="s">
        <v>254</v>
      </c>
      <c r="H64" s="7">
        <v>2</v>
      </c>
      <c r="I64" s="7">
        <v>1</v>
      </c>
      <c r="J64" s="7" t="s">
        <v>254</v>
      </c>
      <c r="K64" s="7">
        <v>2</v>
      </c>
      <c r="L64" s="7">
        <v>1</v>
      </c>
      <c r="M64" s="7" t="s">
        <v>254</v>
      </c>
      <c r="N64" s="7">
        <v>2</v>
      </c>
      <c r="O64" s="7">
        <v>0</v>
      </c>
      <c r="P64" s="14"/>
      <c r="Q64" s="14"/>
      <c r="R64" s="14"/>
      <c r="S64" s="14">
        <v>3</v>
      </c>
      <c r="T64" s="14">
        <v>0</v>
      </c>
      <c r="U64" s="7">
        <v>3</v>
      </c>
      <c r="V64" s="7">
        <v>0</v>
      </c>
      <c r="W64" s="7">
        <v>-2</v>
      </c>
      <c r="X64" s="7">
        <f t="shared" si="0"/>
        <v>-2</v>
      </c>
      <c r="Y64" s="8">
        <f>Z64+W64+AA64</f>
        <v>8</v>
      </c>
      <c r="Z64" s="9">
        <v>0</v>
      </c>
      <c r="AA64" s="10">
        <v>10</v>
      </c>
      <c r="AB64" t="s">
        <v>379</v>
      </c>
    </row>
    <row r="65" spans="1:31" x14ac:dyDescent="0.25">
      <c r="A65" s="12">
        <v>41618</v>
      </c>
      <c r="B65" s="7" t="s">
        <v>277</v>
      </c>
      <c r="C65" s="7">
        <v>59</v>
      </c>
      <c r="D65" s="7" t="s">
        <v>276</v>
      </c>
      <c r="E65" s="7" t="s">
        <v>356</v>
      </c>
      <c r="F65" s="7" t="s">
        <v>371</v>
      </c>
      <c r="G65" s="7" t="s">
        <v>254</v>
      </c>
      <c r="H65" s="7">
        <v>2</v>
      </c>
      <c r="I65" s="7">
        <v>1</v>
      </c>
      <c r="J65" s="7" t="s">
        <v>254</v>
      </c>
      <c r="K65" s="7">
        <v>2</v>
      </c>
      <c r="L65" s="7">
        <v>0</v>
      </c>
      <c r="M65" s="7" t="s">
        <v>254</v>
      </c>
      <c r="N65" s="7">
        <v>2</v>
      </c>
      <c r="O65" s="7">
        <v>0</v>
      </c>
      <c r="P65" s="14"/>
      <c r="Q65" s="14"/>
      <c r="R65" s="14"/>
      <c r="S65" s="14">
        <v>3</v>
      </c>
      <c r="T65" s="14">
        <v>0</v>
      </c>
      <c r="U65" s="7">
        <v>3</v>
      </c>
      <c r="V65" s="7">
        <v>0</v>
      </c>
      <c r="W65" s="7">
        <v>-2</v>
      </c>
      <c r="X65" s="7">
        <f t="shared" si="0"/>
        <v>-2</v>
      </c>
      <c r="Y65" s="8">
        <f>Z65+W65+AA65</f>
        <v>-2</v>
      </c>
      <c r="Z65" s="9">
        <v>0</v>
      </c>
      <c r="AB65" t="s">
        <v>186</v>
      </c>
    </row>
    <row r="66" spans="1:31" x14ac:dyDescent="0.25">
      <c r="A66" s="12">
        <v>41622</v>
      </c>
      <c r="B66" s="7" t="s">
        <v>277</v>
      </c>
      <c r="C66" s="7">
        <v>60</v>
      </c>
      <c r="D66" s="7" t="s">
        <v>276</v>
      </c>
      <c r="E66" s="7" t="s">
        <v>352</v>
      </c>
      <c r="F66" s="7"/>
      <c r="G66" s="7" t="s">
        <v>254</v>
      </c>
      <c r="H66" s="7">
        <v>2</v>
      </c>
      <c r="I66" s="7">
        <v>0</v>
      </c>
      <c r="J66" s="7" t="s">
        <v>254</v>
      </c>
      <c r="K66" s="7">
        <v>2</v>
      </c>
      <c r="L66" s="7">
        <v>0</v>
      </c>
      <c r="M66" s="7" t="s">
        <v>254</v>
      </c>
      <c r="N66" s="7">
        <v>2</v>
      </c>
      <c r="O66" s="7">
        <v>1</v>
      </c>
      <c r="P66" s="14"/>
      <c r="Q66" s="14"/>
      <c r="R66" s="14"/>
      <c r="S66" s="14">
        <v>3</v>
      </c>
      <c r="T66" s="14">
        <v>0</v>
      </c>
      <c r="U66" s="7">
        <v>3</v>
      </c>
      <c r="V66" s="7">
        <v>0</v>
      </c>
      <c r="W66" s="7">
        <v>-2</v>
      </c>
      <c r="X66" s="7">
        <f t="shared" si="0"/>
        <v>-2</v>
      </c>
      <c r="Y66" s="8">
        <f>Z66+W66+AA66</f>
        <v>-2</v>
      </c>
      <c r="Z66" s="9">
        <v>0</v>
      </c>
    </row>
    <row r="67" spans="1:31" x14ac:dyDescent="0.25">
      <c r="A67" s="12">
        <v>41623</v>
      </c>
      <c r="B67" s="7" t="s">
        <v>277</v>
      </c>
      <c r="C67" s="7">
        <v>61</v>
      </c>
      <c r="D67" s="7" t="s">
        <v>276</v>
      </c>
      <c r="E67" s="7" t="s">
        <v>325</v>
      </c>
      <c r="F67" s="7"/>
      <c r="G67" s="7" t="s">
        <v>254</v>
      </c>
      <c r="H67" s="7">
        <v>2</v>
      </c>
      <c r="I67" s="7">
        <v>0</v>
      </c>
      <c r="J67" s="7" t="s">
        <v>238</v>
      </c>
      <c r="K67" s="7">
        <v>1</v>
      </c>
      <c r="L67" s="7">
        <v>2</v>
      </c>
      <c r="M67" s="7" t="s">
        <v>254</v>
      </c>
      <c r="N67" s="7">
        <v>2</v>
      </c>
      <c r="O67" s="7">
        <v>0</v>
      </c>
      <c r="P67" s="14"/>
      <c r="Q67" s="14"/>
      <c r="R67" s="14"/>
      <c r="S67" s="14">
        <v>2</v>
      </c>
      <c r="T67" s="14">
        <v>1</v>
      </c>
      <c r="U67" s="7">
        <v>2</v>
      </c>
      <c r="V67" s="7">
        <v>-1</v>
      </c>
      <c r="W67" s="7">
        <v>-2</v>
      </c>
      <c r="X67" s="7">
        <f t="shared" si="0"/>
        <v>-6</v>
      </c>
      <c r="Y67" s="8">
        <f>Z67+W67+AA67</f>
        <v>-2</v>
      </c>
      <c r="Z67" s="9">
        <v>0</v>
      </c>
      <c r="AB67" t="s">
        <v>385</v>
      </c>
    </row>
    <row r="68" spans="1:31" x14ac:dyDescent="0.25">
      <c r="A68" s="12">
        <v>41629</v>
      </c>
      <c r="B68" s="7" t="s">
        <v>277</v>
      </c>
      <c r="C68" s="7">
        <v>62</v>
      </c>
      <c r="D68" s="7" t="s">
        <v>276</v>
      </c>
      <c r="E68" s="7" t="s">
        <v>356</v>
      </c>
      <c r="F68" s="7" t="s">
        <v>386</v>
      </c>
      <c r="G68" s="7" t="s">
        <v>254</v>
      </c>
      <c r="H68" s="7">
        <v>2</v>
      </c>
      <c r="I68" s="7">
        <v>1</v>
      </c>
      <c r="J68" s="7" t="s">
        <v>254</v>
      </c>
      <c r="K68" s="7">
        <v>2</v>
      </c>
      <c r="L68" s="7">
        <v>0</v>
      </c>
      <c r="M68" s="7" t="s">
        <v>254</v>
      </c>
      <c r="N68" s="7">
        <v>2</v>
      </c>
      <c r="O68" s="7">
        <v>1</v>
      </c>
      <c r="P68" s="14"/>
      <c r="Q68" s="14"/>
      <c r="R68" s="14"/>
      <c r="S68" s="14">
        <v>3</v>
      </c>
      <c r="T68" s="14">
        <v>0</v>
      </c>
      <c r="U68" s="7">
        <v>3</v>
      </c>
      <c r="V68" s="7">
        <v>0</v>
      </c>
      <c r="W68" s="7">
        <v>-2</v>
      </c>
      <c r="X68" s="7">
        <f t="shared" si="0"/>
        <v>-2</v>
      </c>
      <c r="Y68" s="8">
        <f>Z68+W68+AA68</f>
        <v>-15</v>
      </c>
      <c r="Z68" s="9">
        <v>-13</v>
      </c>
      <c r="AA68" s="10"/>
      <c r="AB68" t="s">
        <v>387</v>
      </c>
    </row>
    <row r="69" spans="1:31" x14ac:dyDescent="0.25">
      <c r="A69" s="12">
        <v>41630</v>
      </c>
      <c r="B69" s="7" t="s">
        <v>277</v>
      </c>
      <c r="C69" s="7">
        <v>63</v>
      </c>
      <c r="D69" s="7" t="s">
        <v>276</v>
      </c>
      <c r="E69" s="7" t="s">
        <v>352</v>
      </c>
      <c r="F69" s="7"/>
      <c r="G69" s="7" t="s">
        <v>254</v>
      </c>
      <c r="H69" s="7">
        <v>2</v>
      </c>
      <c r="I69" s="7">
        <v>0</v>
      </c>
      <c r="J69" s="7" t="s">
        <v>238</v>
      </c>
      <c r="K69" s="7">
        <v>0</v>
      </c>
      <c r="L69" s="7">
        <v>2</v>
      </c>
      <c r="M69" s="7" t="s">
        <v>254</v>
      </c>
      <c r="N69" s="7">
        <v>2</v>
      </c>
      <c r="O69" s="7">
        <v>0</v>
      </c>
      <c r="P69" s="14"/>
      <c r="Q69" s="14"/>
      <c r="R69" s="14"/>
      <c r="S69" s="14">
        <v>2</v>
      </c>
      <c r="T69" s="14">
        <v>1</v>
      </c>
      <c r="U69" s="7">
        <v>2</v>
      </c>
      <c r="V69" s="7">
        <v>-1</v>
      </c>
      <c r="W69" s="7">
        <v>-2</v>
      </c>
      <c r="X69" s="7">
        <f t="shared" si="0"/>
        <v>-6</v>
      </c>
      <c r="Y69" s="8">
        <f>Z69+W69+AA69</f>
        <v>-2</v>
      </c>
      <c r="Z69" s="9">
        <v>0</v>
      </c>
      <c r="AB69" t="s">
        <v>388</v>
      </c>
    </row>
    <row r="70" spans="1:31" x14ac:dyDescent="0.25">
      <c r="A70" s="12">
        <v>41630</v>
      </c>
      <c r="B70" s="7" t="s">
        <v>277</v>
      </c>
      <c r="C70" s="7">
        <v>64</v>
      </c>
      <c r="D70" s="7" t="s">
        <v>276</v>
      </c>
      <c r="E70" s="7" t="s">
        <v>278</v>
      </c>
      <c r="F70" s="7"/>
      <c r="G70" s="7" t="s">
        <v>238</v>
      </c>
      <c r="H70" s="7">
        <v>1</v>
      </c>
      <c r="I70" s="7">
        <v>2</v>
      </c>
      <c r="J70" s="7" t="s">
        <v>254</v>
      </c>
      <c r="K70" s="7">
        <v>2</v>
      </c>
      <c r="L70" s="7">
        <v>0</v>
      </c>
      <c r="M70" s="7" t="s">
        <v>238</v>
      </c>
      <c r="N70" s="7">
        <v>1</v>
      </c>
      <c r="O70" s="7">
        <v>2</v>
      </c>
      <c r="P70" s="14"/>
      <c r="Q70" s="14"/>
      <c r="R70" s="14"/>
      <c r="S70" s="14">
        <v>1</v>
      </c>
      <c r="T70" s="14">
        <v>2</v>
      </c>
      <c r="U70" s="7">
        <v>1</v>
      </c>
      <c r="V70" s="7">
        <v>-2</v>
      </c>
      <c r="W70" s="7">
        <v>-2</v>
      </c>
      <c r="X70" s="7">
        <f t="shared" si="0"/>
        <v>-10</v>
      </c>
      <c r="Y70" s="8">
        <f>Z70+W70+AA70</f>
        <v>-2</v>
      </c>
      <c r="Z70" s="9">
        <v>0</v>
      </c>
      <c r="AB70" t="s">
        <v>390</v>
      </c>
      <c r="AE70">
        <v>309150930</v>
      </c>
    </row>
    <row r="71" spans="1:31" x14ac:dyDescent="0.25">
      <c r="A71" s="12">
        <v>41631</v>
      </c>
      <c r="B71" s="7" t="s">
        <v>277</v>
      </c>
      <c r="C71" s="7">
        <v>65</v>
      </c>
      <c r="D71" s="7" t="s">
        <v>276</v>
      </c>
      <c r="E71" s="7" t="s">
        <v>345</v>
      </c>
      <c r="F71" s="7"/>
      <c r="G71" s="7" t="s">
        <v>254</v>
      </c>
      <c r="H71" s="7">
        <v>2</v>
      </c>
      <c r="I71" s="7">
        <v>0</v>
      </c>
      <c r="J71" s="7" t="s">
        <v>254</v>
      </c>
      <c r="K71" s="7">
        <v>2</v>
      </c>
      <c r="L71" s="7">
        <v>0</v>
      </c>
      <c r="M71" s="7" t="s">
        <v>254</v>
      </c>
      <c r="N71" s="7">
        <v>2</v>
      </c>
      <c r="O71" s="7">
        <v>0</v>
      </c>
      <c r="P71" s="14"/>
      <c r="Q71" s="14"/>
      <c r="R71" s="14"/>
      <c r="S71" s="14">
        <v>3</v>
      </c>
      <c r="T71" s="14">
        <v>0</v>
      </c>
      <c r="U71" s="7">
        <v>3</v>
      </c>
      <c r="V71" s="7">
        <v>0</v>
      </c>
      <c r="W71" s="7">
        <v>-2</v>
      </c>
      <c r="X71" s="7">
        <f t="shared" si="0"/>
        <v>-2</v>
      </c>
      <c r="Y71" s="8">
        <f>Z71+W71+AA71</f>
        <v>-2</v>
      </c>
      <c r="Z71" s="9">
        <v>0</v>
      </c>
      <c r="AB71" t="s">
        <v>389</v>
      </c>
    </row>
    <row r="72" spans="1:31" x14ac:dyDescent="0.25">
      <c r="A72" s="12">
        <v>41633</v>
      </c>
      <c r="B72" s="7" t="s">
        <v>277</v>
      </c>
      <c r="C72" s="7">
        <v>66</v>
      </c>
      <c r="D72" s="7" t="s">
        <v>276</v>
      </c>
      <c r="E72" s="7" t="s">
        <v>281</v>
      </c>
      <c r="F72" s="7"/>
      <c r="G72" s="7" t="s">
        <v>254</v>
      </c>
      <c r="H72" s="7">
        <v>2</v>
      </c>
      <c r="I72" s="7">
        <v>0</v>
      </c>
      <c r="J72" s="7" t="s">
        <v>254</v>
      </c>
      <c r="K72" s="7">
        <v>2</v>
      </c>
      <c r="L72" s="7">
        <v>1</v>
      </c>
      <c r="M72" s="7" t="s">
        <v>238</v>
      </c>
      <c r="N72" s="7">
        <v>1</v>
      </c>
      <c r="O72" s="7">
        <v>2</v>
      </c>
      <c r="P72" s="14"/>
      <c r="Q72" s="14"/>
      <c r="R72" s="14"/>
      <c r="S72" s="14">
        <v>2</v>
      </c>
      <c r="T72" s="14">
        <v>1</v>
      </c>
      <c r="U72" s="7">
        <v>2</v>
      </c>
      <c r="V72" s="7">
        <v>-1</v>
      </c>
      <c r="W72" s="7">
        <v>-2</v>
      </c>
      <c r="X72" s="7">
        <f t="shared" si="0"/>
        <v>-6</v>
      </c>
      <c r="Y72" s="8">
        <f>Z72+W72+AA72</f>
        <v>-2</v>
      </c>
      <c r="Z72" s="9">
        <v>0</v>
      </c>
      <c r="AB72" t="s">
        <v>391</v>
      </c>
    </row>
    <row r="73" spans="1:31" x14ac:dyDescent="0.25">
      <c r="A73" s="12">
        <v>41634</v>
      </c>
      <c r="B73" s="7" t="s">
        <v>277</v>
      </c>
      <c r="C73" s="7">
        <v>67</v>
      </c>
      <c r="D73" s="7" t="s">
        <v>276</v>
      </c>
      <c r="E73" s="7" t="s">
        <v>311</v>
      </c>
      <c r="F73" s="7"/>
      <c r="G73" s="7" t="s">
        <v>238</v>
      </c>
      <c r="H73" s="7">
        <v>1</v>
      </c>
      <c r="I73" s="7">
        <v>2</v>
      </c>
      <c r="J73" s="7" t="s">
        <v>238</v>
      </c>
      <c r="K73" s="7">
        <v>1</v>
      </c>
      <c r="L73" s="7">
        <v>2</v>
      </c>
      <c r="M73" s="7" t="s">
        <v>254</v>
      </c>
      <c r="N73" s="7">
        <v>2</v>
      </c>
      <c r="O73" s="7">
        <v>0</v>
      </c>
      <c r="P73" s="14"/>
      <c r="Q73" s="14"/>
      <c r="R73" s="14"/>
      <c r="S73" s="14">
        <v>1</v>
      </c>
      <c r="T73" s="14">
        <v>2</v>
      </c>
      <c r="U73" s="7">
        <v>1</v>
      </c>
      <c r="V73" s="7">
        <v>-2</v>
      </c>
      <c r="W73" s="7">
        <v>-2</v>
      </c>
      <c r="X73" s="7">
        <f t="shared" si="0"/>
        <v>-10</v>
      </c>
      <c r="Y73" s="8">
        <f>Z73+W73+AA73</f>
        <v>-14</v>
      </c>
      <c r="Z73" s="9">
        <v>-12</v>
      </c>
    </row>
    <row r="74" spans="1:31" x14ac:dyDescent="0.25">
      <c r="A74" s="1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4"/>
      <c r="Q74" s="14"/>
      <c r="R74" s="14"/>
      <c r="S74" s="14"/>
      <c r="T74" s="14"/>
      <c r="U74" s="7"/>
      <c r="V74" s="7"/>
      <c r="W74" s="7"/>
      <c r="X74" s="7"/>
      <c r="Y74" s="7"/>
      <c r="Z74" s="9"/>
    </row>
    <row r="75" spans="1:31" ht="15.75" thickBot="1" x14ac:dyDescent="0.3">
      <c r="A75" s="1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4"/>
      <c r="Q75" s="14"/>
      <c r="R75" s="14"/>
      <c r="S75" s="16"/>
      <c r="T75" s="16"/>
      <c r="U75" s="7"/>
      <c r="V75" s="7"/>
      <c r="W75" s="7"/>
      <c r="X75" s="7"/>
      <c r="Y75" s="7"/>
      <c r="Z75" s="9"/>
    </row>
    <row r="76" spans="1:31" x14ac:dyDescent="0.25">
      <c r="C76">
        <f>COUNT(C2:C75)</f>
        <v>72</v>
      </c>
      <c r="H76">
        <f>SUM(H2:H75,K2:K75,N2:N75,)</f>
        <v>334</v>
      </c>
      <c r="I76">
        <f>SUM(I2:I75,L2:L75,O2:O75)</f>
        <v>185</v>
      </c>
      <c r="K76">
        <f>H76+I76</f>
        <v>519</v>
      </c>
      <c r="L76">
        <f>H76/K76</f>
        <v>0.64354527938342965</v>
      </c>
      <c r="S76">
        <f>SUM(S2:S75)</f>
        <v>151</v>
      </c>
      <c r="T76">
        <f>SUM(T2:T73)</f>
        <v>70</v>
      </c>
      <c r="V76">
        <f>SUM(V2:V75)</f>
        <v>-71</v>
      </c>
      <c r="W76">
        <f>V76/C76</f>
        <v>-0.98611111111111116</v>
      </c>
      <c r="X76">
        <f>SUM(X2:X75)</f>
        <v>-368</v>
      </c>
      <c r="Y76" s="7">
        <f>SUM(Y2:Y75)</f>
        <v>-63</v>
      </c>
      <c r="Z76">
        <f>SUM(Z2:Z75)</f>
        <v>-193</v>
      </c>
      <c r="AA76">
        <f>Y76/C76</f>
        <v>-0.875</v>
      </c>
    </row>
    <row r="77" spans="1:31" x14ac:dyDescent="0.25">
      <c r="Z77">
        <f>ABS(Z76)</f>
        <v>193</v>
      </c>
    </row>
    <row r="78" spans="1:31" x14ac:dyDescent="0.25">
      <c r="S78">
        <f>S76+T76</f>
        <v>221</v>
      </c>
      <c r="T78">
        <f>S76/S78</f>
        <v>0.68325791855203621</v>
      </c>
    </row>
    <row r="80" spans="1:31" x14ac:dyDescent="0.25">
      <c r="H80" t="s">
        <v>382</v>
      </c>
      <c r="I80" t="s">
        <v>378</v>
      </c>
      <c r="J80" t="s">
        <v>377</v>
      </c>
      <c r="K80" t="s">
        <v>383</v>
      </c>
    </row>
    <row r="81" spans="1:27" x14ac:dyDescent="0.25">
      <c r="A81">
        <f>(COUNTIF(E2:E75,"WU"))-C81</f>
        <v>11</v>
      </c>
      <c r="B81" s="19" t="s">
        <v>288</v>
      </c>
      <c r="C81">
        <v>1</v>
      </c>
      <c r="F81">
        <f>SUM(A81,A82,A83,A84)</f>
        <v>23</v>
      </c>
      <c r="G81">
        <f>F81/C76</f>
        <v>0.31944444444444442</v>
      </c>
      <c r="H81" t="s">
        <v>240</v>
      </c>
      <c r="I81">
        <f>E92+E93+E94+E95</f>
        <v>55</v>
      </c>
      <c r="J81">
        <f>G92+G93+G94+G95</f>
        <v>77</v>
      </c>
      <c r="K81" s="22">
        <f>I81/J81</f>
        <v>0.7142857142857143</v>
      </c>
      <c r="AA81">
        <f>SUM(AA2:AA75)</f>
        <v>313</v>
      </c>
    </row>
    <row r="82" spans="1:27" x14ac:dyDescent="0.25">
      <c r="A82">
        <f>(COUNTIF(E2:E75,"WB"))-C82</f>
        <v>4</v>
      </c>
      <c r="B82" t="s">
        <v>289</v>
      </c>
      <c r="F82">
        <f>SUM(A81,A85,A86,A87)</f>
        <v>33</v>
      </c>
      <c r="G82">
        <f>F82/C76</f>
        <v>0.45833333333333331</v>
      </c>
      <c r="H82" t="s">
        <v>241</v>
      </c>
      <c r="I82">
        <f>E92+E96+E97+E98</f>
        <v>74</v>
      </c>
      <c r="J82">
        <f>G92+G96+G97+G98</f>
        <v>103</v>
      </c>
      <c r="K82" s="22">
        <f>I82/J82</f>
        <v>0.71844660194174759</v>
      </c>
    </row>
    <row r="83" spans="1:27" x14ac:dyDescent="0.25">
      <c r="A83">
        <f>COUNTIF(E2:E75,"WR")</f>
        <v>4</v>
      </c>
      <c r="B83" s="19" t="s">
        <v>290</v>
      </c>
      <c r="F83">
        <f>SUM(A82,A85,A88,A89)</f>
        <v>30</v>
      </c>
      <c r="G83">
        <f>F83/C76</f>
        <v>0.41666666666666669</v>
      </c>
      <c r="H83" t="s">
        <v>381</v>
      </c>
      <c r="I83">
        <f>E93+E96+E99+E100</f>
        <v>62</v>
      </c>
      <c r="J83">
        <f>G93+G96+G99+G100</f>
        <v>98</v>
      </c>
      <c r="K83" s="22">
        <f>I83/J83</f>
        <v>0.63265306122448983</v>
      </c>
    </row>
    <row r="84" spans="1:27" x14ac:dyDescent="0.25">
      <c r="A84">
        <f>(COUNTIF(E2:E75,"WG"))-C84</f>
        <v>4</v>
      </c>
      <c r="B84" s="19" t="s">
        <v>291</v>
      </c>
      <c r="C84">
        <v>1</v>
      </c>
      <c r="F84">
        <f>SUM(A83,A86,A88,A90)</f>
        <v>23</v>
      </c>
      <c r="G84">
        <f>F84/C76</f>
        <v>0.31944444444444442</v>
      </c>
      <c r="H84" t="s">
        <v>243</v>
      </c>
      <c r="I84">
        <f>E94+E97+E99+E101</f>
        <v>49</v>
      </c>
      <c r="J84">
        <f>G94+G97+G99+G101</f>
        <v>77</v>
      </c>
      <c r="K84" s="22">
        <f>I84/J84</f>
        <v>0.63636363636363635</v>
      </c>
      <c r="Q84">
        <f>COUNTIF(T2:T71, "0")</f>
        <v>21</v>
      </c>
    </row>
    <row r="85" spans="1:27" x14ac:dyDescent="0.25">
      <c r="A85">
        <f>COUNTIF(E2:E75,"UB")</f>
        <v>7</v>
      </c>
      <c r="B85" s="19" t="s">
        <v>292</v>
      </c>
      <c r="F85">
        <f>SUM(A84,A87,A89,A90)</f>
        <v>23</v>
      </c>
      <c r="G85">
        <f>F85/C76</f>
        <v>0.31944444444444442</v>
      </c>
      <c r="H85" t="s">
        <v>244</v>
      </c>
      <c r="I85">
        <f>E95+E98+E100+E101</f>
        <v>60</v>
      </c>
      <c r="J85">
        <f>G95+G98+G100+G101</f>
        <v>81</v>
      </c>
      <c r="K85" s="22">
        <f>I85/J85</f>
        <v>0.7407407407407407</v>
      </c>
      <c r="Q85">
        <f>Q84/C76</f>
        <v>0.29166666666666669</v>
      </c>
    </row>
    <row r="86" spans="1:27" x14ac:dyDescent="0.25">
      <c r="A86">
        <f>COUNTIF(E2:E75,"UR")</f>
        <v>4</v>
      </c>
      <c r="B86" s="19" t="s">
        <v>293</v>
      </c>
      <c r="H86" t="s">
        <v>384</v>
      </c>
      <c r="K86" s="22">
        <f>T78</f>
        <v>0.68325791855203621</v>
      </c>
    </row>
    <row r="87" spans="1:27" x14ac:dyDescent="0.25">
      <c r="A87">
        <f>COUNTIF(E2:E75,"UG")</f>
        <v>11</v>
      </c>
      <c r="B87" s="19" t="s">
        <v>294</v>
      </c>
    </row>
    <row r="88" spans="1:27" x14ac:dyDescent="0.25">
      <c r="A88">
        <f>(COUNTIF(E2:E75,"BR"))-C88</f>
        <v>13</v>
      </c>
      <c r="B88" s="19" t="s">
        <v>295</v>
      </c>
      <c r="C88">
        <v>1</v>
      </c>
      <c r="AA88">
        <f>(57)*(14)</f>
        <v>798</v>
      </c>
    </row>
    <row r="89" spans="1:27" x14ac:dyDescent="0.25">
      <c r="A89">
        <f>(COUNTIF(E2:E75,"BG"))-C89</f>
        <v>6</v>
      </c>
      <c r="B89" s="19" t="s">
        <v>296</v>
      </c>
      <c r="C89">
        <v>1</v>
      </c>
      <c r="AA89">
        <f>26*5</f>
        <v>130</v>
      </c>
    </row>
    <row r="90" spans="1:27" x14ac:dyDescent="0.25">
      <c r="A90">
        <f>(COUNTIF(E2:E75,"RG"))-C90</f>
        <v>2</v>
      </c>
      <c r="B90" t="s">
        <v>297</v>
      </c>
      <c r="C90">
        <v>1</v>
      </c>
    </row>
    <row r="91" spans="1:27" x14ac:dyDescent="0.25">
      <c r="A91">
        <f>COUNTIF(E2:E75,"WUBRG")</f>
        <v>1</v>
      </c>
      <c r="B91" t="s">
        <v>358</v>
      </c>
      <c r="E91" t="s">
        <v>373</v>
      </c>
      <c r="F91" t="s">
        <v>374</v>
      </c>
      <c r="G91" t="s">
        <v>376</v>
      </c>
      <c r="H91" t="s">
        <v>375</v>
      </c>
    </row>
    <row r="92" spans="1:27" x14ac:dyDescent="0.25">
      <c r="D92" s="19" t="s">
        <v>288</v>
      </c>
      <c r="E92">
        <f>SUMIFS(S2:S75,E2:E75, "WU")</f>
        <v>26</v>
      </c>
      <c r="F92">
        <f>SUMIFS(T2:T75,E2:E75, "WU")</f>
        <v>11</v>
      </c>
      <c r="G92">
        <f t="shared" ref="G92:G102" si="1">E92+F92</f>
        <v>37</v>
      </c>
      <c r="H92" s="22">
        <f t="shared" ref="H92:H102" si="2">E92/G92</f>
        <v>0.70270270270270274</v>
      </c>
    </row>
    <row r="93" spans="1:27" x14ac:dyDescent="0.25">
      <c r="A93">
        <f>SUM(A81:A91)</f>
        <v>67</v>
      </c>
      <c r="D93" t="s">
        <v>289</v>
      </c>
      <c r="E93">
        <f>SUMIFS(S2:S75,E2:E75, "WB")</f>
        <v>6</v>
      </c>
      <c r="F93">
        <f>SUMIFS(T2:T75,E2:E75, "WB")</f>
        <v>6</v>
      </c>
      <c r="G93">
        <f t="shared" si="1"/>
        <v>12</v>
      </c>
      <c r="H93" s="22">
        <f t="shared" si="2"/>
        <v>0.5</v>
      </c>
    </row>
    <row r="94" spans="1:27" x14ac:dyDescent="0.25">
      <c r="D94" s="19" t="s">
        <v>290</v>
      </c>
      <c r="E94">
        <f>SUMIFS(S2:S75,E2:E75, "WR")</f>
        <v>9</v>
      </c>
      <c r="F94">
        <f>SUMIFS(T2:T75,E2:E75, "WR")</f>
        <v>3</v>
      </c>
      <c r="G94">
        <f t="shared" si="1"/>
        <v>12</v>
      </c>
      <c r="H94" s="22">
        <f t="shared" si="2"/>
        <v>0.75</v>
      </c>
    </row>
    <row r="95" spans="1:27" x14ac:dyDescent="0.25">
      <c r="D95" s="19" t="s">
        <v>291</v>
      </c>
      <c r="E95">
        <f>SUMIFS(S2:S75,E2:E75, "WG")</f>
        <v>14</v>
      </c>
      <c r="F95">
        <f>SUMIFS(T2:T75,E2:E75, "WG")</f>
        <v>2</v>
      </c>
      <c r="G95">
        <f t="shared" si="1"/>
        <v>16</v>
      </c>
      <c r="H95" s="22">
        <f t="shared" si="2"/>
        <v>0.875</v>
      </c>
    </row>
    <row r="96" spans="1:27" x14ac:dyDescent="0.25">
      <c r="B96" t="s">
        <v>372</v>
      </c>
      <c r="D96" s="19" t="s">
        <v>292</v>
      </c>
      <c r="E96">
        <f>SUMIFS(S2:S75,E2:E75, "UB")</f>
        <v>16</v>
      </c>
      <c r="F96">
        <f>SUMIFS(T2:T75,E2:E75, "UB")</f>
        <v>5</v>
      </c>
      <c r="G96">
        <f t="shared" si="1"/>
        <v>21</v>
      </c>
      <c r="H96" s="22">
        <f t="shared" si="2"/>
        <v>0.76190476190476186</v>
      </c>
    </row>
    <row r="97" spans="4:8" x14ac:dyDescent="0.25">
      <c r="D97" s="19" t="s">
        <v>293</v>
      </c>
      <c r="E97">
        <f>SUMIFS(S2:S75,E2:E75, "UR")</f>
        <v>10</v>
      </c>
      <c r="F97">
        <f>SUMIFS(T2:T75,E2:E75, "UR")</f>
        <v>2</v>
      </c>
      <c r="G97">
        <f t="shared" si="1"/>
        <v>12</v>
      </c>
      <c r="H97" s="22">
        <f t="shared" si="2"/>
        <v>0.83333333333333337</v>
      </c>
    </row>
    <row r="98" spans="4:8" x14ac:dyDescent="0.25">
      <c r="D98" s="19" t="s">
        <v>294</v>
      </c>
      <c r="E98">
        <f>SUMIFS(S2:S75,E2:E75, "UG")</f>
        <v>22</v>
      </c>
      <c r="F98">
        <f>SUMIFS(T2:T75,E2:E75, "UG")</f>
        <v>11</v>
      </c>
      <c r="G98">
        <f t="shared" si="1"/>
        <v>33</v>
      </c>
      <c r="H98" s="22">
        <f t="shared" si="2"/>
        <v>0.66666666666666663</v>
      </c>
    </row>
    <row r="99" spans="4:8" x14ac:dyDescent="0.25">
      <c r="D99" s="19" t="s">
        <v>295</v>
      </c>
      <c r="E99">
        <f>SUMIFS(S2:S75,E2:E75, "BR")</f>
        <v>23</v>
      </c>
      <c r="F99">
        <f>SUMIFS(T2:T75,E2:E75, "BR")</f>
        <v>20</v>
      </c>
      <c r="G99">
        <f t="shared" si="1"/>
        <v>43</v>
      </c>
      <c r="H99" s="22">
        <f t="shared" si="2"/>
        <v>0.53488372093023251</v>
      </c>
    </row>
    <row r="100" spans="4:8" x14ac:dyDescent="0.25">
      <c r="D100" s="19" t="s">
        <v>296</v>
      </c>
      <c r="E100">
        <f>SUMIFS(S2:S75,E2:E75, "BG")</f>
        <v>17</v>
      </c>
      <c r="F100">
        <f>SUMIFS(T2:T75,E2:E75, "BG")</f>
        <v>5</v>
      </c>
      <c r="G100">
        <f t="shared" si="1"/>
        <v>22</v>
      </c>
      <c r="H100" s="22">
        <f t="shared" si="2"/>
        <v>0.77272727272727271</v>
      </c>
    </row>
    <row r="101" spans="4:8" x14ac:dyDescent="0.25">
      <c r="D101" t="s">
        <v>297</v>
      </c>
      <c r="E101">
        <f>SUMIFS(S2:S75,E2:E75, "RG")</f>
        <v>7</v>
      </c>
      <c r="F101">
        <f>SUMIFS(T2:T75,E2:E75, "RG")</f>
        <v>3</v>
      </c>
      <c r="G101">
        <f t="shared" si="1"/>
        <v>10</v>
      </c>
      <c r="H101" s="22">
        <f t="shared" si="2"/>
        <v>0.7</v>
      </c>
    </row>
    <row r="102" spans="4:8" x14ac:dyDescent="0.25">
      <c r="D102" t="s">
        <v>358</v>
      </c>
      <c r="E102">
        <f>SUMIFS(S2:S75,E2:E75, "WUBRG")</f>
        <v>1</v>
      </c>
      <c r="F102">
        <f>SUMIFS(T2:T75,E2:E75, "WUBRG")</f>
        <v>2</v>
      </c>
      <c r="G102">
        <f t="shared" si="1"/>
        <v>3</v>
      </c>
      <c r="H102" s="22">
        <f t="shared" si="2"/>
        <v>0.33333333333333331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Full Set</vt:lpstr>
      <vt:lpstr>Stats</vt:lpstr>
      <vt:lpstr>Win Rate By Color</vt:lpstr>
      <vt:lpstr>Win Rate by Guild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Zvazda</dc:creator>
  <cp:lastModifiedBy>Zvazda</cp:lastModifiedBy>
  <dcterms:created xsi:type="dcterms:W3CDTF">2013-10-05T01:15:06Z</dcterms:created>
  <dcterms:modified xsi:type="dcterms:W3CDTF">2013-12-30T04:54:17Z</dcterms:modified>
</cp:coreProperties>
</file>